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M\Downloads\"/>
    </mc:Choice>
  </mc:AlternateContent>
  <xr:revisionPtr revIDLastSave="0" documentId="13_ncr:1_{9D355027-F30B-4436-969E-C58E26AA221C}" xr6:coauthVersionLast="47" xr6:coauthVersionMax="47" xr10:uidLastSave="{00000000-0000-0000-0000-000000000000}"/>
  <bookViews>
    <workbookView xWindow="-120" yWindow="-120" windowWidth="20730" windowHeight="11160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" i="1"/>
  <c r="T29" i="1"/>
  <c r="T34" i="1"/>
  <c r="T89" i="1"/>
  <c r="T65" i="1"/>
  <c r="T87" i="1"/>
  <c r="T84" i="1"/>
  <c r="T58" i="1"/>
  <c r="T67" i="1"/>
  <c r="T2" i="1"/>
  <c r="T12" i="1"/>
  <c r="T32" i="1"/>
  <c r="T51" i="1"/>
  <c r="T59" i="1"/>
  <c r="T43" i="1"/>
  <c r="T86" i="1"/>
  <c r="T72" i="1"/>
  <c r="T47" i="1"/>
  <c r="T75" i="1"/>
  <c r="T8" i="1"/>
  <c r="T42" i="1"/>
  <c r="T74" i="1"/>
  <c r="T4" i="1"/>
  <c r="T50" i="1"/>
  <c r="T91" i="1"/>
  <c r="T70" i="1"/>
  <c r="T97" i="1"/>
  <c r="T85" i="1"/>
  <c r="T71" i="1"/>
  <c r="T96" i="1"/>
  <c r="T95" i="1"/>
  <c r="T83" i="1"/>
  <c r="T30" i="1"/>
  <c r="T49" i="1"/>
  <c r="T46" i="1"/>
  <c r="T73" i="1"/>
  <c r="T79" i="1"/>
  <c r="T19" i="1"/>
  <c r="T77" i="1"/>
  <c r="T60" i="1"/>
  <c r="T82" i="1"/>
  <c r="T57" i="1"/>
  <c r="T76" i="1"/>
  <c r="T81" i="1"/>
  <c r="T90" i="1"/>
  <c r="T93" i="1"/>
  <c r="T66" i="1"/>
  <c r="T99" i="1"/>
  <c r="T22" i="1"/>
  <c r="T21" i="1"/>
  <c r="T52" i="1"/>
  <c r="T64" i="1"/>
  <c r="T69" i="1"/>
  <c r="T14" i="1"/>
  <c r="T37" i="1"/>
  <c r="T62" i="1"/>
  <c r="T55" i="1"/>
  <c r="T33" i="1"/>
  <c r="T56" i="1"/>
  <c r="T13" i="1"/>
  <c r="T80" i="1"/>
  <c r="T44" i="1"/>
  <c r="T28" i="1"/>
  <c r="T15" i="1"/>
  <c r="T16" i="1"/>
  <c r="T63" i="1"/>
  <c r="T53" i="1"/>
  <c r="T40" i="1"/>
  <c r="T38" i="1"/>
  <c r="T31" i="1"/>
  <c r="T39" i="1"/>
  <c r="T9" i="1"/>
  <c r="T27" i="1"/>
  <c r="T98" i="1"/>
  <c r="T18" i="1"/>
  <c r="T11" i="1"/>
  <c r="T7" i="1"/>
  <c r="T36" i="1"/>
  <c r="T35" i="1"/>
  <c r="T68" i="1"/>
  <c r="T92" i="1"/>
  <c r="T94" i="1"/>
  <c r="T54" i="1"/>
  <c r="T48" i="1"/>
  <c r="T61" i="1"/>
  <c r="T24" i="1"/>
  <c r="T17" i="1"/>
  <c r="T88" i="1"/>
  <c r="T41" i="1"/>
  <c r="T26" i="1"/>
  <c r="T10" i="1"/>
  <c r="T78" i="1"/>
  <c r="T20" i="1"/>
  <c r="T23" i="1"/>
  <c r="T25" i="1"/>
  <c r="T45" i="1"/>
  <c r="D23" i="19"/>
  <c r="D16" i="19"/>
  <c r="D19" i="19"/>
  <c r="D14" i="19"/>
  <c r="D5" i="19"/>
  <c r="D12" i="19"/>
  <c r="D22" i="19"/>
  <c r="D24" i="19"/>
  <c r="D20" i="19"/>
  <c r="D21" i="19"/>
  <c r="D18" i="19"/>
  <c r="D17" i="19"/>
  <c r="D9" i="19"/>
  <c r="D10" i="19"/>
  <c r="D4" i="19"/>
  <c r="D6" i="19"/>
  <c r="D13" i="19"/>
  <c r="D8" i="19"/>
  <c r="D15" i="19"/>
  <c r="D7" i="19"/>
  <c r="D11" i="19"/>
  <c r="D8" i="18"/>
  <c r="D5" i="18"/>
  <c r="D7" i="18"/>
  <c r="D11" i="18"/>
  <c r="D4" i="18"/>
  <c r="D6" i="18"/>
  <c r="D10" i="18"/>
  <c r="D9" i="18"/>
  <c r="D6" i="17"/>
  <c r="D5" i="17"/>
  <c r="D4" i="17"/>
  <c r="D7" i="16"/>
  <c r="D6" i="16"/>
  <c r="D5" i="16"/>
  <c r="D4" i="16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7" i="14"/>
  <c r="D6" i="14"/>
  <c r="D5" i="14"/>
  <c r="D4" i="14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14" i="12"/>
  <c r="D13" i="12"/>
  <c r="D12" i="12"/>
  <c r="D11" i="12"/>
  <c r="D10" i="12"/>
  <c r="D9" i="12"/>
  <c r="D8" i="12"/>
  <c r="D7" i="12"/>
  <c r="D6" i="12"/>
  <c r="D5" i="12"/>
  <c r="D4" i="12"/>
  <c r="D12" i="11"/>
  <c r="D11" i="11"/>
  <c r="D10" i="11"/>
  <c r="D9" i="11"/>
  <c r="D8" i="11"/>
  <c r="D7" i="11"/>
  <c r="D6" i="11"/>
  <c r="D5" i="11"/>
  <c r="D4" i="11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8" i="9"/>
  <c r="D7" i="9"/>
  <c r="D6" i="9"/>
  <c r="D5" i="9"/>
  <c r="D4" i="9"/>
  <c r="D4" i="8"/>
  <c r="D16" i="7"/>
  <c r="D13" i="7"/>
  <c r="D12" i="7"/>
  <c r="D10" i="7"/>
  <c r="D9" i="7"/>
  <c r="D7" i="7"/>
  <c r="D6" i="7"/>
  <c r="D5" i="7"/>
  <c r="D4" i="7"/>
  <c r="D21" i="6"/>
  <c r="D16" i="6"/>
  <c r="D14" i="6"/>
  <c r="D13" i="6"/>
  <c r="D11" i="6"/>
  <c r="D7" i="6"/>
  <c r="D6" i="6"/>
  <c r="D5" i="6"/>
  <c r="D4" i="6"/>
  <c r="D10" i="5"/>
  <c r="D9" i="5"/>
  <c r="D8" i="5"/>
  <c r="D7" i="5"/>
  <c r="D6" i="5"/>
  <c r="D5" i="5"/>
  <c r="D4" i="5"/>
  <c r="D15" i="4"/>
  <c r="D14" i="4"/>
  <c r="D13" i="4"/>
  <c r="D12" i="4"/>
  <c r="D11" i="4"/>
  <c r="D10" i="4"/>
  <c r="D9" i="4"/>
  <c r="D8" i="4"/>
  <c r="D7" i="4"/>
  <c r="D6" i="4"/>
  <c r="D5" i="4"/>
  <c r="D4" i="4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O29" i="1"/>
  <c r="O34" i="1"/>
  <c r="Q87" i="1"/>
  <c r="N87" i="1"/>
  <c r="N84" i="1"/>
  <c r="L84" i="1"/>
  <c r="Q58" i="1"/>
  <c r="O67" i="1"/>
  <c r="G2" i="1"/>
  <c r="F2" i="1"/>
  <c r="D2" i="1"/>
  <c r="O12" i="1"/>
  <c r="K12" i="1"/>
  <c r="O32" i="1"/>
  <c r="K32" i="1"/>
  <c r="O51" i="1"/>
  <c r="Q59" i="1"/>
  <c r="O43" i="1"/>
  <c r="N72" i="1"/>
  <c r="O47" i="1"/>
  <c r="O75" i="1"/>
  <c r="M8" i="1"/>
  <c r="L8" i="1"/>
  <c r="K8" i="1"/>
  <c r="P42" i="1"/>
  <c r="F42" i="1"/>
  <c r="N74" i="1"/>
  <c r="L74" i="1"/>
  <c r="G4" i="1"/>
  <c r="F4" i="1"/>
  <c r="D4" i="1"/>
  <c r="O50" i="1"/>
  <c r="R70" i="1"/>
  <c r="O97" i="1"/>
  <c r="O96" i="1"/>
  <c r="L83" i="1"/>
  <c r="Q30" i="1"/>
  <c r="N30" i="1"/>
  <c r="M49" i="1"/>
  <c r="Q46" i="1"/>
  <c r="N46" i="1"/>
  <c r="M73" i="1"/>
  <c r="J19" i="1"/>
  <c r="Q77" i="1"/>
  <c r="O82" i="1"/>
  <c r="N57" i="1"/>
  <c r="L57" i="1"/>
  <c r="R81" i="1"/>
  <c r="L81" i="1"/>
  <c r="Q90" i="1"/>
  <c r="Q93" i="1"/>
  <c r="E66" i="1"/>
  <c r="S99" i="1"/>
  <c r="I22" i="1"/>
  <c r="H22" i="1"/>
  <c r="E22" i="1"/>
  <c r="P21" i="1"/>
  <c r="E21" i="1"/>
  <c r="Q52" i="1"/>
  <c r="N52" i="1"/>
  <c r="F64" i="1"/>
  <c r="D64" i="1"/>
  <c r="E69" i="1"/>
  <c r="F14" i="1"/>
  <c r="E14" i="1"/>
  <c r="D14" i="1"/>
  <c r="Q37" i="1"/>
  <c r="E62" i="1"/>
  <c r="E55" i="1"/>
  <c r="S33" i="1"/>
  <c r="R56" i="1"/>
  <c r="Q56" i="1"/>
  <c r="M13" i="1"/>
  <c r="L13" i="1"/>
  <c r="K13" i="1"/>
  <c r="M80" i="1"/>
  <c r="L80" i="1"/>
  <c r="R44" i="1"/>
  <c r="I28" i="1"/>
  <c r="H28" i="1"/>
  <c r="E28" i="1"/>
  <c r="G15" i="1"/>
  <c r="F15" i="1"/>
  <c r="D15" i="1"/>
  <c r="N16" i="1"/>
  <c r="L16" i="1"/>
  <c r="O63" i="1"/>
  <c r="H63" i="1"/>
  <c r="M53" i="1"/>
  <c r="L53" i="1"/>
  <c r="D40" i="1"/>
  <c r="M38" i="1"/>
  <c r="L38" i="1"/>
  <c r="I31" i="1"/>
  <c r="H31" i="1"/>
  <c r="E31" i="1"/>
  <c r="O39" i="1"/>
  <c r="K39" i="1"/>
  <c r="I9" i="1"/>
  <c r="H9" i="1"/>
  <c r="E9" i="1"/>
  <c r="G27" i="1"/>
  <c r="F27" i="1"/>
  <c r="D27" i="1"/>
  <c r="S98" i="1"/>
  <c r="E18" i="1"/>
  <c r="O11" i="1"/>
  <c r="E11" i="1"/>
  <c r="I7" i="1"/>
  <c r="E7" i="1"/>
  <c r="D7" i="1"/>
  <c r="P36" i="1"/>
  <c r="N35" i="1"/>
  <c r="O68" i="1"/>
  <c r="E68" i="1"/>
  <c r="F92" i="1"/>
  <c r="D92" i="1"/>
  <c r="P54" i="1"/>
  <c r="Q48" i="1"/>
  <c r="Q24" i="1"/>
  <c r="M24" i="1"/>
  <c r="L24" i="1"/>
  <c r="G17" i="1"/>
  <c r="F17" i="1"/>
  <c r="D17" i="1"/>
  <c r="L88" i="1"/>
  <c r="M26" i="1"/>
  <c r="L26" i="1"/>
  <c r="E26" i="1"/>
  <c r="E10" i="1"/>
  <c r="D10" i="1"/>
  <c r="F78" i="1"/>
  <c r="Q20" i="1"/>
  <c r="N23" i="1"/>
  <c r="L23" i="1"/>
  <c r="I25" i="1"/>
  <c r="H25" i="1"/>
  <c r="E25" i="1"/>
  <c r="O45" i="1"/>
  <c r="T6" i="1"/>
  <c r="I6" i="1"/>
  <c r="H6" i="1"/>
  <c r="G6" i="1"/>
  <c r="F6" i="1"/>
  <c r="E6" i="1"/>
  <c r="D6" i="1"/>
  <c r="T5" i="1"/>
  <c r="I5" i="1"/>
  <c r="H5" i="1"/>
  <c r="G5" i="1"/>
  <c r="F5" i="1"/>
  <c r="E5" i="1"/>
  <c r="D5" i="1"/>
  <c r="T3" i="1"/>
  <c r="I3" i="1"/>
  <c r="H3" i="1"/>
  <c r="E3" i="1"/>
  <c r="D3" i="1"/>
</calcChain>
</file>

<file path=xl/sharedStrings.xml><?xml version="1.0" encoding="utf-8"?>
<sst xmlns="http://schemas.openxmlformats.org/spreadsheetml/2006/main" count="536" uniqueCount="206">
  <si>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</si>
  <si>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</si>
  <si>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</si>
  <si>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</si>
  <si>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</si>
  <si>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</si>
  <si>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</si>
  <si>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</si>
  <si>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</si>
  <si>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</si>
  <si>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</si>
  <si>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</si>
  <si>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</si>
  <si>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</si>
  <si>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</si>
  <si>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</si>
  <si>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</si>
  <si>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</si>
  <si>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</si>
  <si>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</si>
  <si>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Adam Robarts</t>
  </si>
  <si>
    <t>Chris Sarbora</t>
  </si>
  <si>
    <t>Steven Campbell</t>
  </si>
  <si>
    <t>Dave Heinricks</t>
  </si>
  <si>
    <t>Paul McComsey</t>
  </si>
  <si>
    <t>David Pearce</t>
  </si>
  <si>
    <t>Darrin Griffin</t>
  </si>
  <si>
    <t>Charles Hobbs</t>
  </si>
  <si>
    <t>David Kohlstaedt</t>
  </si>
  <si>
    <t>Ryan Cresap</t>
  </si>
  <si>
    <t>Jay Brown</t>
  </si>
  <si>
    <t>Nick Hawson</t>
  </si>
  <si>
    <t>Volga Mermut</t>
  </si>
  <si>
    <t>Kumpy Kump</t>
  </si>
  <si>
    <t>Chris Wilcox</t>
  </si>
  <si>
    <t>Brian Burchill</t>
  </si>
  <si>
    <t>Keith Stone</t>
  </si>
  <si>
    <t>Andy Moore</t>
  </si>
  <si>
    <t>Jeffrey Seehorn</t>
  </si>
  <si>
    <t>Dion LaBlue</t>
  </si>
  <si>
    <t>Cliff Griffin</t>
  </si>
  <si>
    <t>Jonathan Hudak</t>
  </si>
  <si>
    <t>Philip Melnyk</t>
  </si>
  <si>
    <t>Dustin Walbon</t>
  </si>
  <si>
    <t>Sean Cresap</t>
  </si>
  <si>
    <t>Gary Ryder</t>
  </si>
  <si>
    <t>Kevin Nanthrup</t>
  </si>
  <si>
    <t>Micah Kudo</t>
  </si>
  <si>
    <t>Cedric Smith</t>
  </si>
  <si>
    <t>Joel Ohman</t>
  </si>
  <si>
    <t>Ron Rudy</t>
  </si>
  <si>
    <t>Jeff Lane</t>
  </si>
  <si>
    <t>David Bostashvili</t>
  </si>
  <si>
    <t>Chris Burgess</t>
  </si>
  <si>
    <t>Andy Halbert</t>
  </si>
  <si>
    <t>Brian Pinkstaff</t>
  </si>
  <si>
    <t>Mallory Dobbs</t>
  </si>
  <si>
    <t>Howard Nusbaum</t>
  </si>
  <si>
    <t>Matt Taylor</t>
  </si>
  <si>
    <t>Adam Fausett</t>
  </si>
  <si>
    <t>Tico Sandoval</t>
  </si>
  <si>
    <t>Paul Gienau</t>
  </si>
  <si>
    <t>Sergio Gingerich</t>
  </si>
  <si>
    <t>Jeremy Goddard</t>
  </si>
  <si>
    <t>Donald Williams</t>
  </si>
  <si>
    <t>Garret Visser</t>
  </si>
  <si>
    <t>Matthew Kitchell</t>
  </si>
  <si>
    <t>Garrick Fulbright</t>
  </si>
  <si>
    <t>Jolene Janacek</t>
  </si>
  <si>
    <t>Miles McElhany</t>
  </si>
  <si>
    <t>Matthew White</t>
  </si>
  <si>
    <t>Arash Nadershahi</t>
  </si>
  <si>
    <t>Joseph Palmeri</t>
  </si>
  <si>
    <t>Stacey Andrist</t>
  </si>
  <si>
    <t>Brett Andrist</t>
  </si>
  <si>
    <t>Matthew Winter</t>
  </si>
  <si>
    <t>Ron Shincke</t>
  </si>
  <si>
    <t>Zach Halbert</t>
  </si>
  <si>
    <t>Joseph Wright</t>
  </si>
  <si>
    <t>Luke O'Brien</t>
  </si>
  <si>
    <t>Pete Markey</t>
  </si>
  <si>
    <t>Andrew Kapaldo</t>
  </si>
  <si>
    <t>Jennifer Chancellor</t>
  </si>
  <si>
    <t>Lucas Brown</t>
  </si>
  <si>
    <t>Dave Oster</t>
  </si>
  <si>
    <t>Charles Pittman</t>
  </si>
  <si>
    <t>Loren DeShon</t>
  </si>
  <si>
    <t>Christopher Ritnoppakun</t>
  </si>
  <si>
    <t>Kevin O'Neil</t>
  </si>
  <si>
    <t>106R</t>
  </si>
  <si>
    <t>Hunter Ma</t>
  </si>
  <si>
    <t>132R</t>
  </si>
  <si>
    <t>Michael McIntosh</t>
  </si>
  <si>
    <t>139R</t>
  </si>
  <si>
    <t>Steve Naito</t>
  </si>
  <si>
    <t>174R</t>
  </si>
  <si>
    <t>Darin Wade</t>
  </si>
  <si>
    <t>191R</t>
  </si>
  <si>
    <t>Nick Taylor</t>
  </si>
  <si>
    <t>199R</t>
  </si>
  <si>
    <t>Shane Baker</t>
  </si>
  <si>
    <t>1CR</t>
  </si>
  <si>
    <t>Hannah Johnson</t>
  </si>
  <si>
    <t>21R</t>
  </si>
  <si>
    <t>Kevin Pinkstaff</t>
  </si>
  <si>
    <t>236R</t>
  </si>
  <si>
    <t>Justin Carr</t>
  </si>
  <si>
    <t>23R</t>
  </si>
  <si>
    <t>Keith DiBrino</t>
  </si>
  <si>
    <t>24R</t>
  </si>
  <si>
    <t>Todd Eugene</t>
  </si>
  <si>
    <t>2CR</t>
  </si>
  <si>
    <t>Jensen Beeler</t>
  </si>
  <si>
    <t>30R</t>
  </si>
  <si>
    <t>Jon Campbell</t>
  </si>
  <si>
    <t>404R</t>
  </si>
  <si>
    <t>Alexander Clarke</t>
  </si>
  <si>
    <t>40R</t>
  </si>
  <si>
    <t>Damon Schaefer</t>
  </si>
  <si>
    <t>420R</t>
  </si>
  <si>
    <t>Harry Brehm</t>
  </si>
  <si>
    <t>440R</t>
  </si>
  <si>
    <t>Jason Iverson</t>
  </si>
  <si>
    <t>47R</t>
  </si>
  <si>
    <t>austen Brown</t>
  </si>
  <si>
    <t>52R</t>
  </si>
  <si>
    <t>Nathan Aldrich</t>
  </si>
  <si>
    <t>58X</t>
  </si>
  <si>
    <t>Drat Diestler</t>
  </si>
  <si>
    <t>62R</t>
  </si>
  <si>
    <t>Andy DiBrino</t>
  </si>
  <si>
    <t>65R</t>
  </si>
  <si>
    <t>Jacob Keiner</t>
  </si>
  <si>
    <t>667R</t>
  </si>
  <si>
    <t>ben montgomery</t>
  </si>
  <si>
    <t>703R</t>
  </si>
  <si>
    <t>Jeff Ceccacci</t>
  </si>
  <si>
    <t>76R</t>
  </si>
  <si>
    <t>Sam Kaufmann</t>
  </si>
  <si>
    <t>82R</t>
  </si>
  <si>
    <t>Kinzer Naylor</t>
  </si>
  <si>
    <t>86R</t>
  </si>
  <si>
    <t>Danny Houghton</t>
  </si>
  <si>
    <t>91R</t>
  </si>
  <si>
    <t>Alex Taylor</t>
  </si>
  <si>
    <t>94R</t>
  </si>
  <si>
    <t>Joe Rocha</t>
  </si>
  <si>
    <t>2021 Formula Ultra</t>
  </si>
  <si>
    <t>2021 Formula 2</t>
  </si>
  <si>
    <t>2021 Open SS</t>
  </si>
  <si>
    <t>2021 Open SBK</t>
  </si>
  <si>
    <t>Points</t>
  </si>
  <si>
    <t>2021 600 SS</t>
  </si>
  <si>
    <t>2021 600 SBK</t>
  </si>
  <si>
    <t>2021 MW SS</t>
  </si>
  <si>
    <t>2021 MW SBK</t>
  </si>
  <si>
    <t>2021 LW SS</t>
  </si>
  <si>
    <t>2021 LW SBK</t>
  </si>
  <si>
    <t>2021 ULW SS</t>
  </si>
  <si>
    <t>2021 450 SBK</t>
  </si>
  <si>
    <t>2021 Classic SBK</t>
  </si>
  <si>
    <t>2021 250 Ninja Cup</t>
  </si>
  <si>
    <t>2021 160 Vintage</t>
  </si>
  <si>
    <t>2021 750 Vintage</t>
  </si>
  <si>
    <t>2021 Novice 1000</t>
  </si>
  <si>
    <t>2021 Novice 600</t>
  </si>
  <si>
    <t>2021 Formula 40</t>
  </si>
  <si>
    <t>2021 Formula Female</t>
  </si>
  <si>
    <t>Seth Isaacs</t>
  </si>
  <si>
    <t>Chance Terrell</t>
  </si>
  <si>
    <t>Brent Dwyer Love</t>
  </si>
  <si>
    <t>kevin obrien</t>
  </si>
  <si>
    <t>Jonathan Kirkland</t>
  </si>
  <si>
    <t>Cory Desouza</t>
  </si>
  <si>
    <t>Joshua Gonzalez</t>
  </si>
  <si>
    <t>Michael Macias</t>
  </si>
  <si>
    <t>705R</t>
  </si>
  <si>
    <t>708R</t>
  </si>
  <si>
    <t>764R</t>
  </si>
  <si>
    <t>Aleksandr Kibis</t>
  </si>
  <si>
    <t>Dawson Hart</t>
  </si>
  <si>
    <t>John Vento</t>
  </si>
  <si>
    <t>Joe Van Patten</t>
  </si>
  <si>
    <t>Cory Balma</t>
  </si>
  <si>
    <t>Logan Oster</t>
  </si>
  <si>
    <t>Trevor Petersen</t>
  </si>
  <si>
    <t>Ben Rockwood</t>
  </si>
  <si>
    <t>Drew Lenihan</t>
  </si>
  <si>
    <t>Salman Khan</t>
  </si>
  <si>
    <t>Joshua Clarizio</t>
  </si>
  <si>
    <t>Robert Prindle</t>
  </si>
  <si>
    <t>Abelardo Villarreal</t>
  </si>
  <si>
    <t>Becky Smith</t>
  </si>
  <si>
    <t>Hunter Fitch</t>
  </si>
  <si>
    <t>Colin Carrihill</t>
  </si>
  <si>
    <t>Phillip Hranicka</t>
  </si>
  <si>
    <t>Ken Dawson</t>
  </si>
  <si>
    <t>Armando Ferrer</t>
  </si>
  <si>
    <t>Keith Radcliff</t>
  </si>
  <si>
    <t>Thomas Arnesen</t>
  </si>
  <si>
    <t>776R</t>
  </si>
  <si>
    <t>715R</t>
  </si>
  <si>
    <t>716R</t>
  </si>
  <si>
    <t>Dan Wilson</t>
  </si>
  <si>
    <t>Abraham Balderas</t>
  </si>
  <si>
    <t>215R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</si>
</sst>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/>
    <xf numFmtId="0" fontId="3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0" borderId="10" xfId="0" applyFont="1" applyBorder="1"/>
    <xf numFmtId="0" fontId="1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4" fillId="0" borderId="3" xfId="0" applyFont="1" applyBorder="1" applyAlignment="1">
      <alignment horizontal="left"/>
    </xf>
    <xf numFmtId="0" fontId="3" fillId="0" borderId="5" xfId="0" applyFont="1" applyBorder="1"/>
    <xf numFmtId="0" fontId="1" fillId="0" borderId="5" xfId="0" applyFont="1" applyBorder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left" vertical="justify" wrapText="1"/>
    </xf>
    <xf numFmtId="0" fontId="2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00B050"/>
  </sheetPr>
  <dimension ref="A1:T99"/>
  <sheetViews>
    <sheetView tabSelected="1" zoomScaleNormal="100" workbookViewId="0">
      <pane xSplit="3" ySplit="1" topLeftCell="G2" activePane="bottomRight" state="frozen"/>
      <selection pane="topRight" activeCell="C1" sqref="C1"/>
      <selection pane="bottomLeft" activeCell="A2" sqref="A2"/>
      <selection pane="bottomRight" activeCell="P94" sqref="P94"/>
    </sheetView>
  </sheetViews>
  <sheetFormatPr defaultRowHeight="15.75" x14ac:dyDescent="0.25"/>
  <cols>
    <col min="1" max="1" width="12" style="7" customWidth="1"/>
    <col min="2" max="2" width="5.5703125" style="24" bestFit="1" customWidth="1"/>
    <col min="3" max="3" width="31.140625" style="7" bestFit="1" customWidth="1"/>
    <col min="4" max="4" width="8.28515625" style="24" bestFit="1" customWidth="1"/>
    <col min="5" max="5" width="9.7109375" style="24" bestFit="1" customWidth="1"/>
    <col min="6" max="6" width="8.7109375" style="24" bestFit="1" customWidth="1"/>
    <col min="7" max="7" width="10.28515625" style="24" bestFit="1" customWidth="1"/>
    <col min="8" max="8" width="6.85546875" style="24" bestFit="1" customWidth="1"/>
    <col min="9" max="9" width="8.42578125" style="24" bestFit="1" customWidth="1"/>
    <col min="10" max="10" width="7.7109375" style="24" bestFit="1" customWidth="1"/>
    <col min="11" max="11" width="9.28515625" style="24" bestFit="1" customWidth="1"/>
    <col min="12" max="12" width="8.42578125" style="24" bestFit="1" customWidth="1"/>
    <col min="13" max="13" width="8.5703125" style="24" bestFit="1" customWidth="1"/>
    <col min="14" max="14" width="9.28515625" style="7" bestFit="1" customWidth="1"/>
    <col min="15" max="15" width="8.42578125" style="24" bestFit="1" customWidth="1"/>
    <col min="16" max="16" width="11.42578125" style="24" bestFit="1" customWidth="1"/>
    <col min="17" max="17" width="9.42578125" style="24" bestFit="1" customWidth="1"/>
    <col min="18" max="19" width="11.28515625" style="24" bestFit="1" customWidth="1"/>
    <col min="20" max="20" width="11.28515625" style="31" customWidth="1"/>
    <col min="21" max="16384" width="9.140625" style="7"/>
  </cols>
  <sheetData>
    <row r="1" spans="1:20" s="4" customFormat="1" ht="63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</row>
    <row r="2" spans="1:20" s="12" customFormat="1" x14ac:dyDescent="0.25">
      <c r="A2" s="5">
        <v>1</v>
      </c>
      <c r="B2" s="6" t="s">
        <v>129</v>
      </c>
      <c r="C2" s="7" t="s">
        <v>130</v>
      </c>
      <c r="D2" s="8">
        <f>94+78</f>
        <v>172</v>
      </c>
      <c r="E2" s="9"/>
      <c r="F2" s="8">
        <f>45+44</f>
        <v>89</v>
      </c>
      <c r="G2" s="9">
        <f>1+34</f>
        <v>35</v>
      </c>
      <c r="H2" s="8"/>
      <c r="I2" s="10"/>
      <c r="J2" s="10"/>
      <c r="K2" s="53"/>
      <c r="L2" s="53"/>
      <c r="M2" s="53"/>
      <c r="N2" s="55"/>
      <c r="O2" s="53"/>
      <c r="P2" s="53"/>
      <c r="Q2" s="53"/>
      <c r="R2" s="53"/>
      <c r="S2" s="56"/>
      <c r="T2" s="11">
        <f>172+89</f>
        <v>261</v>
      </c>
    </row>
    <row r="3" spans="1:20" x14ac:dyDescent="0.25">
      <c r="A3" s="5">
        <f>A2+1</f>
        <v>2</v>
      </c>
      <c r="B3" s="6">
        <v>1</v>
      </c>
      <c r="C3" s="7" t="s">
        <v>20</v>
      </c>
      <c r="D3" s="13">
        <f>41+78</f>
        <v>119</v>
      </c>
      <c r="E3" s="14">
        <f>55+43</f>
        <v>98</v>
      </c>
      <c r="F3" s="13"/>
      <c r="G3" s="15"/>
      <c r="H3" s="14">
        <f>61+47</f>
        <v>108</v>
      </c>
      <c r="I3" s="14">
        <f>57+1</f>
        <v>58</v>
      </c>
      <c r="J3" s="14"/>
      <c r="K3" s="14"/>
      <c r="L3" s="14"/>
      <c r="M3" s="14"/>
      <c r="N3" s="77"/>
      <c r="O3" s="14"/>
      <c r="P3" s="14"/>
      <c r="Q3" s="14"/>
      <c r="R3" s="14"/>
      <c r="S3" s="20"/>
      <c r="T3" s="11">
        <f>108+119</f>
        <v>227</v>
      </c>
    </row>
    <row r="4" spans="1:20" x14ac:dyDescent="0.25">
      <c r="A4" s="5">
        <f t="shared" ref="A4:A67" si="0">A3+1</f>
        <v>3</v>
      </c>
      <c r="B4" s="24" t="s">
        <v>103</v>
      </c>
      <c r="C4" s="7" t="s">
        <v>104</v>
      </c>
      <c r="D4" s="15">
        <f>63+77</f>
        <v>140</v>
      </c>
      <c r="E4" s="14"/>
      <c r="F4" s="15">
        <f>27+37</f>
        <v>64</v>
      </c>
      <c r="G4" s="15">
        <f>33+41</f>
        <v>74</v>
      </c>
      <c r="H4" s="14"/>
      <c r="I4" s="14"/>
      <c r="J4" s="14"/>
      <c r="K4" s="14"/>
      <c r="L4" s="14"/>
      <c r="M4" s="14"/>
      <c r="N4" s="16"/>
      <c r="O4" s="14"/>
      <c r="P4" s="14"/>
      <c r="Q4" s="14"/>
      <c r="R4" s="14"/>
      <c r="S4" s="20"/>
      <c r="T4" s="11">
        <f>140+74</f>
        <v>214</v>
      </c>
    </row>
    <row r="5" spans="1:20" x14ac:dyDescent="0.25">
      <c r="A5" s="5">
        <f t="shared" si="0"/>
        <v>4</v>
      </c>
      <c r="B5" s="6">
        <v>2</v>
      </c>
      <c r="C5" s="7" t="s">
        <v>21</v>
      </c>
      <c r="D5" s="13">
        <f>63+50</f>
        <v>113</v>
      </c>
      <c r="E5" s="14">
        <f>1+1</f>
        <v>2</v>
      </c>
      <c r="F5" s="13">
        <f>32+9</f>
        <v>41</v>
      </c>
      <c r="G5" s="15">
        <f>22+18</f>
        <v>40</v>
      </c>
      <c r="H5" s="15">
        <f>48+40</f>
        <v>88</v>
      </c>
      <c r="I5" s="15">
        <f>39+38</f>
        <v>77</v>
      </c>
      <c r="J5" s="15"/>
      <c r="K5" s="15"/>
      <c r="L5" s="15"/>
      <c r="M5" s="15"/>
      <c r="N5" s="16"/>
      <c r="O5" s="15"/>
      <c r="P5" s="15"/>
      <c r="Q5" s="15"/>
      <c r="R5" s="15"/>
      <c r="S5" s="17"/>
      <c r="T5" s="11">
        <f>113+88</f>
        <v>201</v>
      </c>
    </row>
    <row r="6" spans="1:20" x14ac:dyDescent="0.25">
      <c r="A6" s="5">
        <f t="shared" si="0"/>
        <v>5</v>
      </c>
      <c r="B6" s="6">
        <v>4</v>
      </c>
      <c r="C6" s="7" t="s">
        <v>22</v>
      </c>
      <c r="D6" s="13">
        <f>41+31</f>
        <v>72</v>
      </c>
      <c r="E6" s="14">
        <f>37</f>
        <v>37</v>
      </c>
      <c r="F6" s="13">
        <f>38+31</f>
        <v>69</v>
      </c>
      <c r="G6" s="14">
        <f>40+28</f>
        <v>68</v>
      </c>
      <c r="H6" s="13">
        <f>54+1</f>
        <v>55</v>
      </c>
      <c r="I6" s="15">
        <f>44</f>
        <v>44</v>
      </c>
      <c r="J6" s="15"/>
      <c r="K6" s="18"/>
      <c r="L6" s="18"/>
      <c r="M6" s="18"/>
      <c r="N6" s="16"/>
      <c r="O6" s="18"/>
      <c r="P6" s="18"/>
      <c r="Q6" s="18"/>
      <c r="R6" s="18"/>
      <c r="S6" s="19"/>
      <c r="T6" s="11">
        <f>72+69</f>
        <v>141</v>
      </c>
    </row>
    <row r="7" spans="1:20" x14ac:dyDescent="0.25">
      <c r="A7" s="5">
        <f t="shared" si="0"/>
        <v>6</v>
      </c>
      <c r="B7" s="6">
        <v>73</v>
      </c>
      <c r="C7" s="7" t="s">
        <v>42</v>
      </c>
      <c r="D7" s="13">
        <f>18+24</f>
        <v>42</v>
      </c>
      <c r="E7" s="14">
        <f>32+36</f>
        <v>68</v>
      </c>
      <c r="F7" s="14"/>
      <c r="G7" s="14"/>
      <c r="H7" s="14"/>
      <c r="I7" s="15">
        <f>34+22</f>
        <v>56</v>
      </c>
      <c r="J7" s="15"/>
      <c r="K7" s="15"/>
      <c r="L7" s="15"/>
      <c r="M7" s="15"/>
      <c r="N7" s="16"/>
      <c r="O7" s="15"/>
      <c r="P7" s="15"/>
      <c r="Q7" s="15"/>
      <c r="R7" s="15"/>
      <c r="S7" s="17"/>
      <c r="T7" s="11">
        <f>56+68</f>
        <v>124</v>
      </c>
    </row>
    <row r="8" spans="1:20" x14ac:dyDescent="0.25">
      <c r="A8" s="5">
        <f t="shared" si="0"/>
        <v>7</v>
      </c>
      <c r="B8" s="6" t="s">
        <v>109</v>
      </c>
      <c r="C8" s="26" t="s">
        <v>110</v>
      </c>
      <c r="D8" s="13"/>
      <c r="E8" s="14"/>
      <c r="F8" s="14"/>
      <c r="G8" s="15"/>
      <c r="H8" s="15"/>
      <c r="I8" s="14"/>
      <c r="J8" s="14">
        <v>15</v>
      </c>
      <c r="K8" s="15">
        <f>39+10</f>
        <v>49</v>
      </c>
      <c r="L8" s="15">
        <f>21+36.5</f>
        <v>57.5</v>
      </c>
      <c r="M8" s="18">
        <f>26.5+38.5</f>
        <v>65</v>
      </c>
      <c r="N8" s="16"/>
      <c r="O8" s="15"/>
      <c r="P8" s="18"/>
      <c r="Q8" s="18"/>
      <c r="R8" s="14"/>
      <c r="S8" s="19"/>
      <c r="T8" s="11">
        <f>65+57.5</f>
        <v>122.5</v>
      </c>
    </row>
    <row r="9" spans="1:20" x14ac:dyDescent="0.25">
      <c r="A9" s="5">
        <f t="shared" si="0"/>
        <v>8</v>
      </c>
      <c r="B9" s="6">
        <v>84</v>
      </c>
      <c r="C9" s="7" t="s">
        <v>47</v>
      </c>
      <c r="D9" s="14"/>
      <c r="E9" s="14">
        <f>14+30</f>
        <v>44</v>
      </c>
      <c r="F9" s="14"/>
      <c r="G9" s="14"/>
      <c r="H9" s="13">
        <f>16+29</f>
        <v>45</v>
      </c>
      <c r="I9" s="15">
        <f>22+45</f>
        <v>67</v>
      </c>
      <c r="J9" s="15"/>
      <c r="K9" s="15"/>
      <c r="L9" s="15"/>
      <c r="M9" s="15"/>
      <c r="N9" s="16"/>
      <c r="O9" s="15"/>
      <c r="P9" s="15"/>
      <c r="Q9" s="15"/>
      <c r="R9" s="15"/>
      <c r="S9" s="17"/>
      <c r="T9" s="11">
        <f>67+45</f>
        <v>112</v>
      </c>
    </row>
    <row r="10" spans="1:20" x14ac:dyDescent="0.25">
      <c r="A10" s="5">
        <f t="shared" si="0"/>
        <v>9</v>
      </c>
      <c r="B10" s="6">
        <v>29</v>
      </c>
      <c r="C10" s="7" t="s">
        <v>28</v>
      </c>
      <c r="D10" s="13">
        <f>38</f>
        <v>38</v>
      </c>
      <c r="E10" s="14">
        <f>48</f>
        <v>48</v>
      </c>
      <c r="F10" s="14"/>
      <c r="G10" s="14"/>
      <c r="H10" s="14"/>
      <c r="I10" s="14">
        <v>50</v>
      </c>
      <c r="J10" s="14"/>
      <c r="K10" s="13"/>
      <c r="L10" s="13"/>
      <c r="M10" s="13"/>
      <c r="N10" s="16"/>
      <c r="O10" s="13"/>
      <c r="P10" s="14"/>
      <c r="Q10" s="13"/>
      <c r="R10" s="13"/>
      <c r="S10" s="23"/>
      <c r="T10" s="11">
        <f>50+48</f>
        <v>98</v>
      </c>
    </row>
    <row r="11" spans="1:20" x14ac:dyDescent="0.25">
      <c r="A11" s="5">
        <f t="shared" si="0"/>
        <v>10</v>
      </c>
      <c r="B11" s="6">
        <v>77</v>
      </c>
      <c r="C11" s="7" t="s">
        <v>43</v>
      </c>
      <c r="D11" s="13"/>
      <c r="E11" s="14">
        <f>42</f>
        <v>42</v>
      </c>
      <c r="F11" s="13"/>
      <c r="G11" s="14"/>
      <c r="H11" s="13"/>
      <c r="I11" s="15"/>
      <c r="J11" s="18"/>
      <c r="K11" s="15"/>
      <c r="L11" s="15"/>
      <c r="M11" s="15"/>
      <c r="N11" s="16"/>
      <c r="O11" s="15">
        <f>53</f>
        <v>53</v>
      </c>
      <c r="P11" s="15"/>
      <c r="Q11" s="15"/>
      <c r="R11" s="14"/>
      <c r="S11" s="17"/>
      <c r="T11" s="11">
        <f>53+42</f>
        <v>95</v>
      </c>
    </row>
    <row r="12" spans="1:20" x14ac:dyDescent="0.25">
      <c r="A12" s="5">
        <f t="shared" si="0"/>
        <v>11</v>
      </c>
      <c r="B12" s="6" t="s">
        <v>127</v>
      </c>
      <c r="C12" s="7" t="s">
        <v>128</v>
      </c>
      <c r="D12" s="13"/>
      <c r="E12" s="14"/>
      <c r="F12" s="14"/>
      <c r="G12" s="15"/>
      <c r="H12" s="15"/>
      <c r="I12" s="14"/>
      <c r="J12" s="14"/>
      <c r="K12" s="15">
        <f>32+32</f>
        <v>64</v>
      </c>
      <c r="L12" s="15"/>
      <c r="M12" s="18"/>
      <c r="N12" s="16"/>
      <c r="O12" s="15">
        <f>1+30</f>
        <v>31</v>
      </c>
      <c r="P12" s="18"/>
      <c r="Q12" s="18"/>
      <c r="R12" s="14"/>
      <c r="S12" s="19"/>
      <c r="T12" s="11">
        <f>64+31</f>
        <v>95</v>
      </c>
    </row>
    <row r="13" spans="1:20" x14ac:dyDescent="0.25">
      <c r="A13" s="5">
        <f t="shared" si="0"/>
        <v>12</v>
      </c>
      <c r="B13" s="27">
        <v>204</v>
      </c>
      <c r="C13" s="21" t="s">
        <v>59</v>
      </c>
      <c r="D13" s="28"/>
      <c r="E13" s="28"/>
      <c r="F13" s="28"/>
      <c r="G13" s="28"/>
      <c r="H13" s="28"/>
      <c r="I13" s="28"/>
      <c r="J13" s="18">
        <v>50</v>
      </c>
      <c r="K13" s="13">
        <f>21</f>
        <v>21</v>
      </c>
      <c r="L13" s="13">
        <f>43</f>
        <v>43</v>
      </c>
      <c r="M13" s="13">
        <f>34</f>
        <v>34</v>
      </c>
      <c r="N13" s="16"/>
      <c r="O13" s="13"/>
      <c r="P13" s="28"/>
      <c r="Q13" s="13"/>
      <c r="R13" s="13"/>
      <c r="S13" s="23"/>
      <c r="T13" s="11">
        <f>50+43</f>
        <v>93</v>
      </c>
    </row>
    <row r="14" spans="1:20" x14ac:dyDescent="0.25">
      <c r="A14" s="5">
        <f t="shared" si="0"/>
        <v>13</v>
      </c>
      <c r="B14" s="22">
        <v>284</v>
      </c>
      <c r="C14" s="21" t="s">
        <v>65</v>
      </c>
      <c r="D14" s="13">
        <f>30+13</f>
        <v>43</v>
      </c>
      <c r="E14" s="14">
        <f>27+20</f>
        <v>47</v>
      </c>
      <c r="F14" s="13">
        <f>22+6</f>
        <v>28</v>
      </c>
      <c r="G14" s="13"/>
      <c r="H14" s="14">
        <v>33</v>
      </c>
      <c r="I14" s="14">
        <v>29</v>
      </c>
      <c r="J14" s="14"/>
      <c r="K14" s="14"/>
      <c r="L14" s="14"/>
      <c r="M14" s="14"/>
      <c r="N14" s="16"/>
      <c r="O14" s="14"/>
      <c r="P14" s="14"/>
      <c r="Q14" s="14"/>
      <c r="R14" s="14"/>
      <c r="S14" s="20"/>
      <c r="T14" s="11">
        <f>47+43</f>
        <v>90</v>
      </c>
    </row>
    <row r="15" spans="1:20" x14ac:dyDescent="0.25">
      <c r="A15" s="5">
        <f t="shared" si="0"/>
        <v>14</v>
      </c>
      <c r="B15" s="6">
        <v>121</v>
      </c>
      <c r="C15" s="7" t="s">
        <v>55</v>
      </c>
      <c r="D15" s="13">
        <f>48</f>
        <v>48</v>
      </c>
      <c r="E15" s="14"/>
      <c r="F15" s="13">
        <f>17</f>
        <v>17</v>
      </c>
      <c r="G15" s="15">
        <f>27</f>
        <v>27</v>
      </c>
      <c r="H15" s="14"/>
      <c r="I15" s="14"/>
      <c r="J15" s="14"/>
      <c r="K15" s="14"/>
      <c r="L15" s="14"/>
      <c r="M15" s="14"/>
      <c r="N15" s="16"/>
      <c r="O15" s="14"/>
      <c r="P15" s="14"/>
      <c r="Q15" s="14"/>
      <c r="R15" s="14"/>
      <c r="S15" s="20"/>
      <c r="T15" s="11">
        <f>48+27</f>
        <v>75</v>
      </c>
    </row>
    <row r="16" spans="1:20" x14ac:dyDescent="0.25">
      <c r="A16" s="5">
        <f t="shared" si="0"/>
        <v>15</v>
      </c>
      <c r="B16" s="6">
        <v>107</v>
      </c>
      <c r="C16" s="7" t="s">
        <v>54</v>
      </c>
      <c r="D16" s="14"/>
      <c r="E16" s="14"/>
      <c r="F16" s="14"/>
      <c r="G16" s="14"/>
      <c r="H16" s="14"/>
      <c r="I16" s="15"/>
      <c r="J16" s="15"/>
      <c r="K16" s="15"/>
      <c r="L16" s="15">
        <f>31</f>
        <v>31</v>
      </c>
      <c r="M16" s="15"/>
      <c r="N16" s="16">
        <f>41</f>
        <v>41</v>
      </c>
      <c r="O16" s="15"/>
      <c r="P16" s="15"/>
      <c r="Q16" s="15"/>
      <c r="R16" s="15"/>
      <c r="S16" s="17"/>
      <c r="T16" s="11">
        <f>41+31</f>
        <v>72</v>
      </c>
    </row>
    <row r="17" spans="1:20" x14ac:dyDescent="0.25">
      <c r="A17" s="5">
        <f t="shared" si="0"/>
        <v>16</v>
      </c>
      <c r="B17" s="6">
        <v>38</v>
      </c>
      <c r="C17" s="7" t="s">
        <v>32</v>
      </c>
      <c r="D17" s="13">
        <f>45</f>
        <v>45</v>
      </c>
      <c r="E17" s="14"/>
      <c r="F17" s="13">
        <f>21</f>
        <v>21</v>
      </c>
      <c r="G17" s="15">
        <f>23</f>
        <v>23</v>
      </c>
      <c r="H17" s="14"/>
      <c r="I17" s="14"/>
      <c r="J17" s="14"/>
      <c r="K17" s="14"/>
      <c r="L17" s="14"/>
      <c r="M17" s="14"/>
      <c r="N17" s="16"/>
      <c r="O17" s="14"/>
      <c r="P17" s="14"/>
      <c r="Q17" s="14"/>
      <c r="R17" s="14"/>
      <c r="S17" s="20"/>
      <c r="T17" s="11">
        <f>45+23</f>
        <v>68</v>
      </c>
    </row>
    <row r="18" spans="1:20" x14ac:dyDescent="0.25">
      <c r="A18" s="5">
        <f t="shared" si="0"/>
        <v>17</v>
      </c>
      <c r="B18" s="6">
        <v>78</v>
      </c>
      <c r="C18" s="7" t="s">
        <v>44</v>
      </c>
      <c r="D18" s="13"/>
      <c r="E18" s="14">
        <f>23</f>
        <v>23</v>
      </c>
      <c r="F18" s="13"/>
      <c r="G18" s="15"/>
      <c r="H18" s="13">
        <v>43</v>
      </c>
      <c r="I18" s="15">
        <v>25</v>
      </c>
      <c r="J18" s="15"/>
      <c r="K18" s="15"/>
      <c r="L18" s="15"/>
      <c r="M18" s="15"/>
      <c r="N18" s="16"/>
      <c r="O18" s="15"/>
      <c r="P18" s="15"/>
      <c r="Q18" s="15"/>
      <c r="R18" s="15"/>
      <c r="S18" s="17"/>
      <c r="T18" s="11">
        <f>43+25</f>
        <v>68</v>
      </c>
    </row>
    <row r="19" spans="1:20" x14ac:dyDescent="0.25">
      <c r="A19" s="5">
        <f t="shared" si="0"/>
        <v>18</v>
      </c>
      <c r="B19" s="6">
        <v>813</v>
      </c>
      <c r="C19" s="26" t="s">
        <v>81</v>
      </c>
      <c r="D19" s="13"/>
      <c r="E19" s="14"/>
      <c r="F19" s="14"/>
      <c r="G19" s="15"/>
      <c r="H19" s="15"/>
      <c r="I19" s="14"/>
      <c r="J19" s="14">
        <f>43+25</f>
        <v>68</v>
      </c>
      <c r="K19" s="15"/>
      <c r="L19" s="15"/>
      <c r="M19" s="18"/>
      <c r="N19" s="16"/>
      <c r="O19" s="15"/>
      <c r="P19" s="18"/>
      <c r="Q19" s="18"/>
      <c r="R19" s="14"/>
      <c r="S19" s="19"/>
      <c r="T19" s="11">
        <f>68</f>
        <v>68</v>
      </c>
    </row>
    <row r="20" spans="1:20" x14ac:dyDescent="0.25">
      <c r="A20" s="5">
        <f t="shared" si="0"/>
        <v>19</v>
      </c>
      <c r="B20" s="6">
        <v>23</v>
      </c>
      <c r="C20" s="7" t="s">
        <v>26</v>
      </c>
      <c r="D20" s="13"/>
      <c r="E20" s="14"/>
      <c r="F20" s="13"/>
      <c r="G20" s="15"/>
      <c r="H20" s="14"/>
      <c r="I20" s="14"/>
      <c r="J20" s="14"/>
      <c r="K20" s="14"/>
      <c r="L20" s="14"/>
      <c r="M20" s="14"/>
      <c r="N20" s="16"/>
      <c r="O20" s="14"/>
      <c r="P20" s="14"/>
      <c r="Q20" s="15">
        <f>25+42.5</f>
        <v>67.5</v>
      </c>
      <c r="R20" s="14"/>
      <c r="S20" s="20"/>
      <c r="T20" s="11">
        <f>67.5</f>
        <v>67.5</v>
      </c>
    </row>
    <row r="21" spans="1:20" x14ac:dyDescent="0.25">
      <c r="A21" s="5">
        <f t="shared" si="0"/>
        <v>20</v>
      </c>
      <c r="B21" s="6">
        <v>343</v>
      </c>
      <c r="C21" s="7" t="s">
        <v>69</v>
      </c>
      <c r="D21" s="14"/>
      <c r="E21" s="14">
        <f>10</f>
        <v>10</v>
      </c>
      <c r="F21" s="14"/>
      <c r="G21" s="14"/>
      <c r="H21" s="13">
        <v>26</v>
      </c>
      <c r="I21" s="13">
        <v>19</v>
      </c>
      <c r="J21" s="13"/>
      <c r="K21" s="18"/>
      <c r="L21" s="18"/>
      <c r="M21" s="18"/>
      <c r="N21" s="16"/>
      <c r="O21" s="18"/>
      <c r="P21" s="18">
        <f>40</f>
        <v>40</v>
      </c>
      <c r="Q21" s="18"/>
      <c r="R21" s="18"/>
      <c r="S21" s="19"/>
      <c r="T21" s="11">
        <f>40+26</f>
        <v>66</v>
      </c>
    </row>
    <row r="22" spans="1:20" x14ac:dyDescent="0.25">
      <c r="A22" s="5">
        <f t="shared" si="0"/>
        <v>21</v>
      </c>
      <c r="B22" s="6">
        <v>351</v>
      </c>
      <c r="C22" s="26" t="s">
        <v>70</v>
      </c>
      <c r="D22" s="13"/>
      <c r="E22" s="14">
        <f>6</f>
        <v>6</v>
      </c>
      <c r="F22" s="14"/>
      <c r="G22" s="15"/>
      <c r="H22" s="15">
        <f>12+15</f>
        <v>27</v>
      </c>
      <c r="I22" s="14">
        <f>7+32</f>
        <v>39</v>
      </c>
      <c r="J22" s="14"/>
      <c r="K22" s="15"/>
      <c r="L22" s="15"/>
      <c r="M22" s="18"/>
      <c r="N22" s="16"/>
      <c r="O22" s="15"/>
      <c r="P22" s="18"/>
      <c r="Q22" s="18"/>
      <c r="R22" s="14"/>
      <c r="S22" s="19"/>
      <c r="T22" s="11">
        <f>39+27</f>
        <v>66</v>
      </c>
    </row>
    <row r="23" spans="1:20" x14ac:dyDescent="0.25">
      <c r="A23" s="5">
        <f t="shared" si="0"/>
        <v>22</v>
      </c>
      <c r="B23" s="6">
        <v>17</v>
      </c>
      <c r="C23" s="21" t="s">
        <v>25</v>
      </c>
      <c r="D23" s="13"/>
      <c r="E23" s="14"/>
      <c r="F23" s="14"/>
      <c r="G23" s="14"/>
      <c r="H23" s="14"/>
      <c r="I23" s="14"/>
      <c r="J23" s="14"/>
      <c r="K23" s="18"/>
      <c r="L23" s="15">
        <f>14.5</f>
        <v>14.5</v>
      </c>
      <c r="M23" s="18"/>
      <c r="N23" s="16">
        <f>18.5+32</f>
        <v>50.5</v>
      </c>
      <c r="O23" s="18"/>
      <c r="P23" s="18"/>
      <c r="Q23" s="18"/>
      <c r="R23" s="18"/>
      <c r="S23" s="19"/>
      <c r="T23" s="11">
        <f>50.5+14.5</f>
        <v>65</v>
      </c>
    </row>
    <row r="24" spans="1:20" x14ac:dyDescent="0.25">
      <c r="A24" s="5">
        <f t="shared" si="0"/>
        <v>23</v>
      </c>
      <c r="B24" s="22">
        <v>46</v>
      </c>
      <c r="C24" s="7" t="s">
        <v>33</v>
      </c>
      <c r="D24" s="14"/>
      <c r="E24" s="14"/>
      <c r="F24" s="13"/>
      <c r="G24" s="15"/>
      <c r="H24" s="14"/>
      <c r="I24" s="14"/>
      <c r="J24" s="14"/>
      <c r="K24" s="14"/>
      <c r="L24" s="14">
        <f>15</f>
        <v>15</v>
      </c>
      <c r="M24" s="14">
        <f>12.5</f>
        <v>12.5</v>
      </c>
      <c r="N24" s="16"/>
      <c r="O24" s="14"/>
      <c r="P24" s="14"/>
      <c r="Q24" s="15">
        <f>38+10.5</f>
        <v>48.5</v>
      </c>
      <c r="R24" s="14"/>
      <c r="S24" s="20"/>
      <c r="T24" s="11">
        <f>48.5+15</f>
        <v>63.5</v>
      </c>
    </row>
    <row r="25" spans="1:20" x14ac:dyDescent="0.25">
      <c r="A25" s="5">
        <f t="shared" si="0"/>
        <v>24</v>
      </c>
      <c r="B25" s="6">
        <v>6</v>
      </c>
      <c r="C25" s="7" t="s">
        <v>24</v>
      </c>
      <c r="D25" s="14"/>
      <c r="E25" s="14">
        <f>20+11</f>
        <v>31</v>
      </c>
      <c r="F25" s="14"/>
      <c r="G25" s="14"/>
      <c r="H25" s="15">
        <f>23+9</f>
        <v>32</v>
      </c>
      <c r="I25" s="15">
        <f>16+10</f>
        <v>26</v>
      </c>
      <c r="J25" s="15"/>
      <c r="K25" s="15"/>
      <c r="L25" s="15"/>
      <c r="M25" s="15"/>
      <c r="N25" s="16"/>
      <c r="O25" s="15"/>
      <c r="P25" s="15"/>
      <c r="Q25" s="15"/>
      <c r="R25" s="15"/>
      <c r="S25" s="17"/>
      <c r="T25" s="11">
        <f>32+31</f>
        <v>63</v>
      </c>
    </row>
    <row r="26" spans="1:20" x14ac:dyDescent="0.25">
      <c r="A26" s="5">
        <f t="shared" si="0"/>
        <v>25</v>
      </c>
      <c r="B26" s="24">
        <v>31</v>
      </c>
      <c r="C26" s="7" t="s">
        <v>29</v>
      </c>
      <c r="D26" s="14"/>
      <c r="E26" s="14">
        <f>17</f>
        <v>17</v>
      </c>
      <c r="F26" s="14"/>
      <c r="G26" s="14"/>
      <c r="H26" s="14">
        <v>20</v>
      </c>
      <c r="I26" s="15"/>
      <c r="J26" s="15"/>
      <c r="K26" s="13"/>
      <c r="L26" s="13">
        <f>43</f>
        <v>43</v>
      </c>
      <c r="M26" s="13">
        <f>18</f>
        <v>18</v>
      </c>
      <c r="N26" s="16"/>
      <c r="O26" s="13"/>
      <c r="P26" s="15"/>
      <c r="Q26" s="13"/>
      <c r="R26" s="13"/>
      <c r="S26" s="23"/>
      <c r="T26" s="11">
        <f>43+20</f>
        <v>63</v>
      </c>
    </row>
    <row r="27" spans="1:20" x14ac:dyDescent="0.25">
      <c r="A27" s="5">
        <f t="shared" si="0"/>
        <v>26</v>
      </c>
      <c r="B27" s="6">
        <v>82</v>
      </c>
      <c r="C27" s="7" t="s">
        <v>46</v>
      </c>
      <c r="D27" s="13">
        <f>18+15</f>
        <v>33</v>
      </c>
      <c r="E27" s="14"/>
      <c r="F27" s="13">
        <f>13+16</f>
        <v>29</v>
      </c>
      <c r="G27" s="15">
        <f>13</f>
        <v>13</v>
      </c>
      <c r="H27" s="14"/>
      <c r="I27" s="14"/>
      <c r="J27" s="14"/>
      <c r="K27" s="14"/>
      <c r="L27" s="14"/>
      <c r="M27" s="14"/>
      <c r="N27" s="16"/>
      <c r="O27" s="14"/>
      <c r="P27" s="14"/>
      <c r="Q27" s="14"/>
      <c r="R27" s="14"/>
      <c r="S27" s="20"/>
      <c r="T27" s="11">
        <f>33+29</f>
        <v>62</v>
      </c>
    </row>
    <row r="28" spans="1:20" x14ac:dyDescent="0.25">
      <c r="A28" s="5">
        <f t="shared" si="0"/>
        <v>27</v>
      </c>
      <c r="B28" s="24">
        <v>126</v>
      </c>
      <c r="C28" s="7" t="s">
        <v>56</v>
      </c>
      <c r="D28" s="14"/>
      <c r="E28" s="14">
        <f>12+25</f>
        <v>37</v>
      </c>
      <c r="F28" s="14"/>
      <c r="G28" s="14"/>
      <c r="H28" s="13">
        <f>1+19</f>
        <v>20</v>
      </c>
      <c r="I28" s="13">
        <f>1+13</f>
        <v>14</v>
      </c>
      <c r="J28" s="13"/>
      <c r="K28" s="18"/>
      <c r="L28" s="18"/>
      <c r="M28" s="18"/>
      <c r="N28" s="16"/>
      <c r="O28" s="18"/>
      <c r="P28" s="18"/>
      <c r="Q28" s="18"/>
      <c r="R28" s="18"/>
      <c r="S28" s="19"/>
      <c r="T28" s="11">
        <f>37+20</f>
        <v>57</v>
      </c>
    </row>
    <row r="29" spans="1:20" x14ac:dyDescent="0.25">
      <c r="A29" s="5">
        <f t="shared" si="0"/>
        <v>28</v>
      </c>
      <c r="B29" s="6" t="s">
        <v>145</v>
      </c>
      <c r="C29" s="26" t="s">
        <v>146</v>
      </c>
      <c r="D29" s="13"/>
      <c r="E29" s="14"/>
      <c r="F29" s="14"/>
      <c r="G29" s="15"/>
      <c r="H29" s="15"/>
      <c r="I29" s="14"/>
      <c r="J29" s="14">
        <v>37</v>
      </c>
      <c r="K29" s="15"/>
      <c r="L29" s="15"/>
      <c r="M29" s="18"/>
      <c r="N29" s="16"/>
      <c r="O29" s="15">
        <f>18</f>
        <v>18</v>
      </c>
      <c r="P29" s="18"/>
      <c r="Q29" s="18"/>
      <c r="R29" s="14"/>
      <c r="S29" s="19"/>
      <c r="T29" s="11">
        <f>37+18</f>
        <v>55</v>
      </c>
    </row>
    <row r="30" spans="1:20" x14ac:dyDescent="0.25">
      <c r="A30" s="5">
        <f t="shared" si="0"/>
        <v>29</v>
      </c>
      <c r="B30" s="6">
        <v>914</v>
      </c>
      <c r="C30" s="26" t="s">
        <v>86</v>
      </c>
      <c r="D30" s="13"/>
      <c r="E30" s="14"/>
      <c r="F30" s="14"/>
      <c r="G30" s="15"/>
      <c r="H30" s="15"/>
      <c r="I30" s="14"/>
      <c r="J30" s="14"/>
      <c r="K30" s="15"/>
      <c r="L30" s="15"/>
      <c r="M30" s="18"/>
      <c r="N30" s="16">
        <f>3</f>
        <v>3</v>
      </c>
      <c r="O30" s="15"/>
      <c r="P30" s="18"/>
      <c r="Q30" s="18">
        <f>22.5+27</f>
        <v>49.5</v>
      </c>
      <c r="R30" s="14"/>
      <c r="S30" s="19"/>
      <c r="T30" s="11">
        <f>49.5+3</f>
        <v>52.5</v>
      </c>
    </row>
    <row r="31" spans="1:20" x14ac:dyDescent="0.25">
      <c r="A31" s="5">
        <f t="shared" si="0"/>
        <v>30</v>
      </c>
      <c r="B31" s="24">
        <v>92</v>
      </c>
      <c r="C31" s="21" t="s">
        <v>49</v>
      </c>
      <c r="D31" s="14"/>
      <c r="E31" s="13">
        <f>8+15</f>
        <v>23</v>
      </c>
      <c r="F31" s="14"/>
      <c r="G31" s="14"/>
      <c r="H31" s="13">
        <f>14+12</f>
        <v>26</v>
      </c>
      <c r="I31" s="13">
        <f>9+17</f>
        <v>26</v>
      </c>
      <c r="J31" s="13"/>
      <c r="K31" s="18"/>
      <c r="L31" s="18"/>
      <c r="M31" s="18"/>
      <c r="N31" s="16"/>
      <c r="O31" s="18"/>
      <c r="P31" s="18"/>
      <c r="Q31" s="18"/>
      <c r="R31" s="18"/>
      <c r="S31" s="19"/>
      <c r="T31" s="11">
        <f>26+26</f>
        <v>52</v>
      </c>
    </row>
    <row r="32" spans="1:20" x14ac:dyDescent="0.25">
      <c r="A32" s="5">
        <f t="shared" si="0"/>
        <v>31</v>
      </c>
      <c r="B32" s="6" t="s">
        <v>125</v>
      </c>
      <c r="C32" s="26" t="s">
        <v>126</v>
      </c>
      <c r="D32" s="13"/>
      <c r="E32" s="14"/>
      <c r="F32" s="14"/>
      <c r="G32" s="15"/>
      <c r="H32" s="15">
        <v>9</v>
      </c>
      <c r="I32" s="14"/>
      <c r="J32" s="14"/>
      <c r="K32" s="15">
        <f>26</f>
        <v>26</v>
      </c>
      <c r="L32" s="15"/>
      <c r="M32" s="18"/>
      <c r="N32" s="16"/>
      <c r="O32" s="15">
        <f>21</f>
        <v>21</v>
      </c>
      <c r="P32" s="18"/>
      <c r="Q32" s="18"/>
      <c r="R32" s="14"/>
      <c r="S32" s="19"/>
      <c r="T32" s="11">
        <f>21+26</f>
        <v>47</v>
      </c>
    </row>
    <row r="33" spans="1:20" x14ac:dyDescent="0.25">
      <c r="A33" s="5">
        <f t="shared" si="0"/>
        <v>32</v>
      </c>
      <c r="B33" s="6">
        <v>230</v>
      </c>
      <c r="C33" s="26" t="s">
        <v>61</v>
      </c>
      <c r="D33" s="13"/>
      <c r="E33" s="14"/>
      <c r="F33" s="13"/>
      <c r="G33" s="14"/>
      <c r="H33" s="13"/>
      <c r="I33" s="15"/>
      <c r="J33" s="15">
        <v>27</v>
      </c>
      <c r="K33" s="18"/>
      <c r="L33" s="18"/>
      <c r="M33" s="18"/>
      <c r="N33" s="16"/>
      <c r="O33" s="18"/>
      <c r="P33" s="18"/>
      <c r="Q33" s="18"/>
      <c r="R33" s="13"/>
      <c r="S33" s="19">
        <f>19</f>
        <v>19</v>
      </c>
      <c r="T33" s="11">
        <f>27+19</f>
        <v>46</v>
      </c>
    </row>
    <row r="34" spans="1:20" x14ac:dyDescent="0.25">
      <c r="A34" s="5">
        <f t="shared" si="0"/>
        <v>33</v>
      </c>
      <c r="B34" s="6" t="s">
        <v>143</v>
      </c>
      <c r="C34" s="26" t="s">
        <v>144</v>
      </c>
      <c r="D34" s="13"/>
      <c r="E34" s="14"/>
      <c r="F34" s="14"/>
      <c r="G34" s="15"/>
      <c r="H34" s="15"/>
      <c r="I34" s="14"/>
      <c r="J34" s="14"/>
      <c r="K34" s="15"/>
      <c r="L34" s="15"/>
      <c r="M34" s="18"/>
      <c r="N34" s="16"/>
      <c r="O34" s="15">
        <f>46</f>
        <v>46</v>
      </c>
      <c r="P34" s="18"/>
      <c r="Q34" s="18"/>
      <c r="R34" s="14"/>
      <c r="S34" s="19"/>
      <c r="T34" s="11">
        <f>46</f>
        <v>46</v>
      </c>
    </row>
    <row r="35" spans="1:20" x14ac:dyDescent="0.25">
      <c r="A35" s="5">
        <f t="shared" si="0"/>
        <v>34</v>
      </c>
      <c r="B35" s="6">
        <v>64</v>
      </c>
      <c r="C35" s="21" t="s">
        <v>40</v>
      </c>
      <c r="D35" s="14"/>
      <c r="E35" s="14"/>
      <c r="F35" s="14"/>
      <c r="G35" s="14"/>
      <c r="H35" s="13"/>
      <c r="I35" s="15"/>
      <c r="J35" s="18"/>
      <c r="K35" s="15"/>
      <c r="L35" s="15"/>
      <c r="M35" s="15"/>
      <c r="N35" s="16">
        <f>28.5+17</f>
        <v>45.5</v>
      </c>
      <c r="O35" s="15"/>
      <c r="P35" s="15"/>
      <c r="Q35" s="15"/>
      <c r="R35" s="14"/>
      <c r="S35" s="17"/>
      <c r="T35" s="11">
        <f>45.5</f>
        <v>45.5</v>
      </c>
    </row>
    <row r="36" spans="1:20" x14ac:dyDescent="0.25">
      <c r="A36" s="5">
        <f t="shared" si="0"/>
        <v>35</v>
      </c>
      <c r="B36" s="6">
        <v>66</v>
      </c>
      <c r="C36" s="7" t="s">
        <v>41</v>
      </c>
      <c r="D36" s="14"/>
      <c r="E36" s="14"/>
      <c r="F36" s="14"/>
      <c r="G36" s="13"/>
      <c r="H36" s="14"/>
      <c r="I36" s="14">
        <v>12</v>
      </c>
      <c r="J36" s="14"/>
      <c r="K36" s="14"/>
      <c r="L36" s="14"/>
      <c r="M36" s="14"/>
      <c r="N36" s="16"/>
      <c r="O36" s="14"/>
      <c r="P36" s="14">
        <f>33</f>
        <v>33</v>
      </c>
      <c r="Q36" s="14"/>
      <c r="R36" s="14"/>
      <c r="S36" s="20"/>
      <c r="T36" s="11">
        <f>33+12</f>
        <v>45</v>
      </c>
    </row>
    <row r="37" spans="1:20" x14ac:dyDescent="0.25">
      <c r="A37" s="5">
        <f t="shared" si="0"/>
        <v>36</v>
      </c>
      <c r="B37" s="6">
        <v>272</v>
      </c>
      <c r="C37" s="7" t="s">
        <v>64</v>
      </c>
      <c r="D37" s="14"/>
      <c r="E37" s="14"/>
      <c r="F37" s="14"/>
      <c r="G37" s="14"/>
      <c r="H37" s="13"/>
      <c r="I37" s="15"/>
      <c r="J37" s="15"/>
      <c r="K37" s="15"/>
      <c r="L37" s="15"/>
      <c r="M37" s="15"/>
      <c r="N37" s="16"/>
      <c r="O37" s="15"/>
      <c r="P37" s="15"/>
      <c r="Q37" s="15">
        <f>44.5</f>
        <v>44.5</v>
      </c>
      <c r="R37" s="15"/>
      <c r="S37" s="17"/>
      <c r="T37" s="11">
        <f>44.5</f>
        <v>44.5</v>
      </c>
    </row>
    <row r="38" spans="1:20" x14ac:dyDescent="0.25">
      <c r="A38" s="5">
        <f t="shared" si="0"/>
        <v>37</v>
      </c>
      <c r="B38" s="6">
        <v>93</v>
      </c>
      <c r="C38" s="25" t="s">
        <v>50</v>
      </c>
      <c r="D38" s="14"/>
      <c r="E38" s="14"/>
      <c r="F38" s="14"/>
      <c r="G38" s="14"/>
      <c r="H38" s="14"/>
      <c r="I38" s="15"/>
      <c r="J38" s="15"/>
      <c r="K38" s="13"/>
      <c r="L38" s="13">
        <f>31</f>
        <v>31</v>
      </c>
      <c r="M38" s="13">
        <f>12.5</f>
        <v>12.5</v>
      </c>
      <c r="N38" s="16"/>
      <c r="O38" s="13"/>
      <c r="P38" s="18"/>
      <c r="Q38" s="13"/>
      <c r="R38" s="13"/>
      <c r="S38" s="23"/>
      <c r="T38" s="11">
        <f>31+12.5</f>
        <v>43.5</v>
      </c>
    </row>
    <row r="39" spans="1:20" x14ac:dyDescent="0.25">
      <c r="A39" s="5">
        <f t="shared" si="0"/>
        <v>38</v>
      </c>
      <c r="B39" s="6">
        <v>88</v>
      </c>
      <c r="C39" s="26" t="s">
        <v>48</v>
      </c>
      <c r="D39" s="14"/>
      <c r="E39" s="14"/>
      <c r="F39" s="14"/>
      <c r="G39" s="14"/>
      <c r="H39" s="15"/>
      <c r="I39" s="14"/>
      <c r="J39" s="14"/>
      <c r="K39" s="14">
        <f>1</f>
        <v>1</v>
      </c>
      <c r="L39" s="14"/>
      <c r="M39" s="14"/>
      <c r="N39" s="16"/>
      <c r="O39" s="14">
        <f>40</f>
        <v>40</v>
      </c>
      <c r="P39" s="14"/>
      <c r="Q39" s="14"/>
      <c r="R39" s="14"/>
      <c r="S39" s="20"/>
      <c r="T39" s="11">
        <f>40+1</f>
        <v>41</v>
      </c>
    </row>
    <row r="40" spans="1:20" x14ac:dyDescent="0.25">
      <c r="A40" s="5">
        <f t="shared" si="0"/>
        <v>39</v>
      </c>
      <c r="B40" s="6">
        <v>97</v>
      </c>
      <c r="C40" s="7" t="s">
        <v>51</v>
      </c>
      <c r="D40" s="13">
        <f>12</f>
        <v>12</v>
      </c>
      <c r="E40" s="14"/>
      <c r="F40" s="14"/>
      <c r="G40" s="15"/>
      <c r="H40" s="13">
        <v>29</v>
      </c>
      <c r="I40" s="15">
        <v>1</v>
      </c>
      <c r="J40" s="15"/>
      <c r="K40" s="15"/>
      <c r="L40" s="15"/>
      <c r="M40" s="15"/>
      <c r="N40" s="16"/>
      <c r="O40" s="15"/>
      <c r="P40" s="15"/>
      <c r="Q40" s="15"/>
      <c r="R40" s="15"/>
      <c r="S40" s="17"/>
      <c r="T40" s="11">
        <f>29+12</f>
        <v>41</v>
      </c>
    </row>
    <row r="41" spans="1:20" x14ac:dyDescent="0.25">
      <c r="A41" s="5">
        <f t="shared" si="0"/>
        <v>40</v>
      </c>
      <c r="B41" s="22">
        <v>32</v>
      </c>
      <c r="C41" s="21" t="s">
        <v>30</v>
      </c>
      <c r="D41" s="13"/>
      <c r="E41" s="14"/>
      <c r="F41" s="13"/>
      <c r="G41" s="15"/>
      <c r="H41" s="14">
        <v>38</v>
      </c>
      <c r="I41" s="14"/>
      <c r="J41" s="14"/>
      <c r="K41" s="15"/>
      <c r="L41" s="18"/>
      <c r="M41" s="18"/>
      <c r="N41" s="16"/>
      <c r="O41" s="14"/>
      <c r="P41" s="18">
        <v>1</v>
      </c>
      <c r="Q41" s="18"/>
      <c r="R41" s="14"/>
      <c r="S41" s="19"/>
      <c r="T41" s="11">
        <f>38+1</f>
        <v>39</v>
      </c>
    </row>
    <row r="42" spans="1:20" x14ac:dyDescent="0.25">
      <c r="A42" s="5">
        <f t="shared" si="0"/>
        <v>41</v>
      </c>
      <c r="B42" s="24" t="s">
        <v>107</v>
      </c>
      <c r="C42" s="26" t="s">
        <v>108</v>
      </c>
      <c r="D42" s="15"/>
      <c r="E42" s="14"/>
      <c r="F42" s="15">
        <f>12</f>
        <v>12</v>
      </c>
      <c r="G42" s="15"/>
      <c r="H42" s="14"/>
      <c r="I42" s="14"/>
      <c r="J42" s="14"/>
      <c r="K42" s="14"/>
      <c r="L42" s="14"/>
      <c r="M42" s="14"/>
      <c r="N42" s="16"/>
      <c r="O42" s="14"/>
      <c r="P42" s="14">
        <f>27</f>
        <v>27</v>
      </c>
      <c r="Q42" s="14"/>
      <c r="R42" s="14"/>
      <c r="S42" s="20"/>
      <c r="T42" s="11">
        <f>27+12</f>
        <v>39</v>
      </c>
    </row>
    <row r="43" spans="1:20" x14ac:dyDescent="0.25">
      <c r="A43" s="5">
        <f t="shared" si="0"/>
        <v>42</v>
      </c>
      <c r="B43" s="6" t="s">
        <v>119</v>
      </c>
      <c r="C43" s="26" t="s">
        <v>120</v>
      </c>
      <c r="D43" s="13"/>
      <c r="E43" s="14"/>
      <c r="F43" s="14"/>
      <c r="G43" s="15"/>
      <c r="H43" s="15"/>
      <c r="I43" s="14">
        <v>14</v>
      </c>
      <c r="J43" s="14"/>
      <c r="K43" s="15"/>
      <c r="L43" s="15"/>
      <c r="M43" s="18"/>
      <c r="N43" s="16"/>
      <c r="O43" s="15">
        <f>25</f>
        <v>25</v>
      </c>
      <c r="P43" s="18"/>
      <c r="Q43" s="18"/>
      <c r="R43" s="14"/>
      <c r="S43" s="19"/>
      <c r="T43" s="11">
        <f>25+14</f>
        <v>39</v>
      </c>
    </row>
    <row r="44" spans="1:20" x14ac:dyDescent="0.25">
      <c r="A44" s="5">
        <f t="shared" si="0"/>
        <v>43</v>
      </c>
      <c r="B44" s="24">
        <v>149</v>
      </c>
      <c r="C44" s="26" t="s">
        <v>57</v>
      </c>
      <c r="D44" s="14"/>
      <c r="E44" s="14"/>
      <c r="F44" s="14"/>
      <c r="G44" s="14"/>
      <c r="H44" s="13"/>
      <c r="I44" s="13"/>
      <c r="J44" s="13"/>
      <c r="K44" s="18"/>
      <c r="L44" s="18"/>
      <c r="M44" s="18"/>
      <c r="N44" s="16"/>
      <c r="O44" s="18"/>
      <c r="P44" s="18"/>
      <c r="Q44" s="18"/>
      <c r="R44" s="18">
        <f>37.5</f>
        <v>37.5</v>
      </c>
      <c r="S44" s="19"/>
      <c r="T44" s="11">
        <f>37.5</f>
        <v>37.5</v>
      </c>
    </row>
    <row r="45" spans="1:20" x14ac:dyDescent="0.25">
      <c r="A45" s="5">
        <f t="shared" si="0"/>
        <v>44</v>
      </c>
      <c r="B45" s="6">
        <v>5</v>
      </c>
      <c r="C45" s="7" t="s">
        <v>23</v>
      </c>
      <c r="D45" s="13"/>
      <c r="E45" s="14"/>
      <c r="F45" s="13"/>
      <c r="G45" s="15"/>
      <c r="H45" s="14"/>
      <c r="I45" s="14"/>
      <c r="J45" s="14"/>
      <c r="K45" s="15"/>
      <c r="L45" s="14"/>
      <c r="M45" s="14"/>
      <c r="N45" s="16"/>
      <c r="O45" s="14">
        <f>35</f>
        <v>35</v>
      </c>
      <c r="P45" s="14"/>
      <c r="Q45" s="14"/>
      <c r="R45" s="14"/>
      <c r="S45" s="20"/>
      <c r="T45" s="11">
        <f>35</f>
        <v>35</v>
      </c>
    </row>
    <row r="46" spans="1:20" x14ac:dyDescent="0.25">
      <c r="A46" s="5">
        <f t="shared" si="0"/>
        <v>45</v>
      </c>
      <c r="B46" s="6">
        <v>901</v>
      </c>
      <c r="C46" s="26" t="s">
        <v>84</v>
      </c>
      <c r="D46" s="13"/>
      <c r="E46" s="14"/>
      <c r="F46" s="14"/>
      <c r="G46" s="15"/>
      <c r="H46" s="15"/>
      <c r="I46" s="14"/>
      <c r="J46" s="14"/>
      <c r="K46" s="15"/>
      <c r="L46" s="15"/>
      <c r="M46" s="18"/>
      <c r="N46" s="16">
        <f>2</f>
        <v>2</v>
      </c>
      <c r="O46" s="15"/>
      <c r="P46" s="18"/>
      <c r="Q46" s="18">
        <f>13+19.5</f>
        <v>32.5</v>
      </c>
      <c r="R46" s="14"/>
      <c r="S46" s="19"/>
      <c r="T46" s="11">
        <f>32.5+2</f>
        <v>34.5</v>
      </c>
    </row>
    <row r="47" spans="1:20" x14ac:dyDescent="0.25">
      <c r="A47" s="5">
        <f t="shared" si="0"/>
        <v>46</v>
      </c>
      <c r="B47" s="6" t="s">
        <v>113</v>
      </c>
      <c r="C47" s="26" t="s">
        <v>114</v>
      </c>
      <c r="D47" s="13"/>
      <c r="E47" s="14"/>
      <c r="F47" s="14"/>
      <c r="G47" s="15"/>
      <c r="H47" s="15"/>
      <c r="I47" s="14"/>
      <c r="J47" s="14">
        <v>32</v>
      </c>
      <c r="K47" s="15"/>
      <c r="L47" s="15"/>
      <c r="M47" s="18"/>
      <c r="N47" s="16"/>
      <c r="O47" s="15">
        <f>1</f>
        <v>1</v>
      </c>
      <c r="P47" s="18"/>
      <c r="Q47" s="18"/>
      <c r="R47" s="14"/>
      <c r="S47" s="19"/>
      <c r="T47" s="11">
        <f>32+1</f>
        <v>33</v>
      </c>
    </row>
    <row r="48" spans="1:20" x14ac:dyDescent="0.25">
      <c r="A48" s="5">
        <f t="shared" si="0"/>
        <v>47</v>
      </c>
      <c r="B48" s="6">
        <v>48</v>
      </c>
      <c r="C48" s="7" t="s">
        <v>35</v>
      </c>
      <c r="D48" s="14"/>
      <c r="E48" s="14"/>
      <c r="F48" s="14"/>
      <c r="G48" s="14"/>
      <c r="H48" s="13"/>
      <c r="I48" s="15"/>
      <c r="J48" s="15"/>
      <c r="K48" s="18"/>
      <c r="L48" s="18"/>
      <c r="M48" s="18"/>
      <c r="N48" s="16"/>
      <c r="O48" s="18"/>
      <c r="P48" s="18"/>
      <c r="Q48" s="15">
        <f>32.5</f>
        <v>32.5</v>
      </c>
      <c r="R48" s="18"/>
      <c r="S48" s="19"/>
      <c r="T48" s="11">
        <f>32.5</f>
        <v>32.5</v>
      </c>
    </row>
    <row r="49" spans="1:20" x14ac:dyDescent="0.25">
      <c r="A49" s="5">
        <f t="shared" si="0"/>
        <v>48</v>
      </c>
      <c r="B49" s="6">
        <v>902</v>
      </c>
      <c r="C49" s="26" t="s">
        <v>85</v>
      </c>
      <c r="D49" s="13"/>
      <c r="E49" s="14"/>
      <c r="F49" s="14"/>
      <c r="G49" s="15"/>
      <c r="H49" s="15"/>
      <c r="I49" s="14"/>
      <c r="J49" s="14"/>
      <c r="K49" s="15"/>
      <c r="L49" s="15"/>
      <c r="M49" s="18">
        <f>30.5</f>
        <v>30.5</v>
      </c>
      <c r="N49" s="16"/>
      <c r="O49" s="15"/>
      <c r="P49" s="18"/>
      <c r="Q49" s="18"/>
      <c r="R49" s="14"/>
      <c r="S49" s="19"/>
      <c r="T49" s="11">
        <f>30.5</f>
        <v>30.5</v>
      </c>
    </row>
    <row r="50" spans="1:20" x14ac:dyDescent="0.25">
      <c r="A50" s="5">
        <f t="shared" si="0"/>
        <v>49</v>
      </c>
      <c r="B50" s="6" t="s">
        <v>101</v>
      </c>
      <c r="C50" s="26" t="s">
        <v>102</v>
      </c>
      <c r="D50" s="13"/>
      <c r="E50" s="14"/>
      <c r="F50" s="14"/>
      <c r="G50" s="15"/>
      <c r="H50" s="15"/>
      <c r="I50" s="14"/>
      <c r="J50" s="14"/>
      <c r="K50" s="15"/>
      <c r="L50" s="15"/>
      <c r="M50" s="18"/>
      <c r="N50" s="16"/>
      <c r="O50" s="15">
        <f>30</f>
        <v>30</v>
      </c>
      <c r="P50" s="18"/>
      <c r="Q50" s="18"/>
      <c r="R50" s="14"/>
      <c r="S50" s="19"/>
      <c r="T50" s="11">
        <f>30</f>
        <v>30</v>
      </c>
    </row>
    <row r="51" spans="1:20" x14ac:dyDescent="0.25">
      <c r="A51" s="5">
        <f t="shared" si="0"/>
        <v>50</v>
      </c>
      <c r="B51" s="6" t="s">
        <v>123</v>
      </c>
      <c r="C51" s="26" t="s">
        <v>124</v>
      </c>
      <c r="D51" s="14"/>
      <c r="E51" s="14"/>
      <c r="F51" s="14"/>
      <c r="G51" s="13"/>
      <c r="H51" s="14"/>
      <c r="I51" s="14"/>
      <c r="J51" s="14">
        <v>18</v>
      </c>
      <c r="K51" s="14"/>
      <c r="L51" s="14"/>
      <c r="M51" s="14"/>
      <c r="N51" s="16"/>
      <c r="O51" s="15">
        <f>12</f>
        <v>12</v>
      </c>
      <c r="P51" s="14"/>
      <c r="Q51" s="14"/>
      <c r="R51" s="14"/>
      <c r="S51" s="23"/>
      <c r="T51" s="11">
        <f>18+12</f>
        <v>30</v>
      </c>
    </row>
    <row r="52" spans="1:20" x14ac:dyDescent="0.25">
      <c r="A52" s="5">
        <f t="shared" si="0"/>
        <v>51</v>
      </c>
      <c r="B52" s="24">
        <v>339</v>
      </c>
      <c r="C52" s="21" t="s">
        <v>68</v>
      </c>
      <c r="D52" s="14"/>
      <c r="E52" s="13"/>
      <c r="F52" s="14"/>
      <c r="G52" s="14"/>
      <c r="H52" s="13"/>
      <c r="I52" s="13"/>
      <c r="J52" s="13"/>
      <c r="K52" s="13"/>
      <c r="L52" s="15"/>
      <c r="M52" s="13"/>
      <c r="N52" s="16">
        <f>18.5+0.5</f>
        <v>19</v>
      </c>
      <c r="O52" s="13"/>
      <c r="P52" s="18"/>
      <c r="Q52" s="15">
        <f>8</f>
        <v>8</v>
      </c>
      <c r="R52" s="13"/>
      <c r="S52" s="23"/>
      <c r="T52" s="11">
        <f>19+8</f>
        <v>27</v>
      </c>
    </row>
    <row r="53" spans="1:20" x14ac:dyDescent="0.25">
      <c r="A53" s="5">
        <f t="shared" si="0"/>
        <v>52</v>
      </c>
      <c r="B53" s="6">
        <v>99</v>
      </c>
      <c r="C53" s="26" t="s">
        <v>52</v>
      </c>
      <c r="D53" s="13"/>
      <c r="E53" s="14"/>
      <c r="F53" s="14"/>
      <c r="G53" s="15"/>
      <c r="H53" s="15"/>
      <c r="I53" s="14"/>
      <c r="J53" s="14"/>
      <c r="K53" s="15"/>
      <c r="L53" s="15">
        <f>21</f>
        <v>21</v>
      </c>
      <c r="M53" s="18">
        <f>5.5</f>
        <v>5.5</v>
      </c>
      <c r="N53" s="16"/>
      <c r="O53" s="15"/>
      <c r="P53" s="18"/>
      <c r="Q53" s="18"/>
      <c r="R53" s="14"/>
      <c r="S53" s="19"/>
      <c r="T53" s="11">
        <f>21+5.5</f>
        <v>26.5</v>
      </c>
    </row>
    <row r="54" spans="1:20" x14ac:dyDescent="0.25">
      <c r="A54" s="5">
        <f t="shared" si="0"/>
        <v>53</v>
      </c>
      <c r="B54" s="6">
        <v>49</v>
      </c>
      <c r="C54" s="7" t="s">
        <v>36</v>
      </c>
      <c r="D54" s="14"/>
      <c r="E54" s="14"/>
      <c r="F54" s="14"/>
      <c r="G54" s="14"/>
      <c r="H54" s="15">
        <v>4</v>
      </c>
      <c r="I54" s="14"/>
      <c r="J54" s="14"/>
      <c r="K54" s="14"/>
      <c r="L54" s="14"/>
      <c r="M54" s="14"/>
      <c r="N54" s="16"/>
      <c r="O54" s="14"/>
      <c r="P54" s="14">
        <f>22</f>
        <v>22</v>
      </c>
      <c r="Q54" s="14"/>
      <c r="R54" s="14"/>
      <c r="S54" s="20"/>
      <c r="T54" s="11">
        <f>22+4</f>
        <v>26</v>
      </c>
    </row>
    <row r="55" spans="1:20" x14ac:dyDescent="0.25">
      <c r="A55" s="5">
        <f t="shared" si="0"/>
        <v>54</v>
      </c>
      <c r="B55" s="6">
        <v>247</v>
      </c>
      <c r="C55" s="26" t="s">
        <v>62</v>
      </c>
      <c r="D55" s="13"/>
      <c r="E55" s="14">
        <f>9</f>
        <v>9</v>
      </c>
      <c r="F55" s="14"/>
      <c r="G55" s="15"/>
      <c r="H55" s="15">
        <v>15</v>
      </c>
      <c r="I55" s="14">
        <v>11</v>
      </c>
      <c r="J55" s="14"/>
      <c r="K55" s="15"/>
      <c r="L55" s="15"/>
      <c r="M55" s="18"/>
      <c r="N55" s="16"/>
      <c r="O55" s="15"/>
      <c r="P55" s="18"/>
      <c r="Q55" s="18"/>
      <c r="R55" s="14"/>
      <c r="S55" s="19"/>
      <c r="T55" s="11">
        <f>15+11</f>
        <v>26</v>
      </c>
    </row>
    <row r="56" spans="1:20" x14ac:dyDescent="0.25">
      <c r="A56" s="5">
        <f t="shared" si="0"/>
        <v>55</v>
      </c>
      <c r="B56" s="6">
        <v>213</v>
      </c>
      <c r="C56" s="21" t="s">
        <v>60</v>
      </c>
      <c r="D56" s="13"/>
      <c r="E56" s="14"/>
      <c r="F56" s="13"/>
      <c r="G56" s="14"/>
      <c r="H56" s="13"/>
      <c r="I56" s="15"/>
      <c r="J56" s="15"/>
      <c r="K56" s="18"/>
      <c r="L56" s="18"/>
      <c r="M56" s="18"/>
      <c r="N56" s="16"/>
      <c r="O56" s="18"/>
      <c r="P56" s="18"/>
      <c r="Q56" s="18">
        <f>8.5</f>
        <v>8.5</v>
      </c>
      <c r="R56" s="13">
        <f>16</f>
        <v>16</v>
      </c>
      <c r="S56" s="19"/>
      <c r="T56" s="11">
        <f>16+8.5</f>
        <v>24.5</v>
      </c>
    </row>
    <row r="57" spans="1:20" x14ac:dyDescent="0.25">
      <c r="A57" s="5">
        <f t="shared" si="0"/>
        <v>56</v>
      </c>
      <c r="B57" s="6">
        <v>769</v>
      </c>
      <c r="C57" s="26" t="s">
        <v>77</v>
      </c>
      <c r="D57" s="13"/>
      <c r="E57" s="14"/>
      <c r="F57" s="14"/>
      <c r="G57" s="15"/>
      <c r="H57" s="15"/>
      <c r="I57" s="14"/>
      <c r="J57" s="14"/>
      <c r="K57" s="15"/>
      <c r="L57" s="15">
        <f>8.5</f>
        <v>8.5</v>
      </c>
      <c r="M57" s="18"/>
      <c r="N57" s="16">
        <f>15.5</f>
        <v>15.5</v>
      </c>
      <c r="O57" s="15"/>
      <c r="P57" s="18"/>
      <c r="Q57" s="18"/>
      <c r="R57" s="14"/>
      <c r="S57" s="19"/>
      <c r="T57" s="11">
        <f>15.5+8.5</f>
        <v>24</v>
      </c>
    </row>
    <row r="58" spans="1:20" x14ac:dyDescent="0.25">
      <c r="A58" s="5">
        <f t="shared" si="0"/>
        <v>57</v>
      </c>
      <c r="B58" s="6" t="s">
        <v>133</v>
      </c>
      <c r="C58" s="26" t="s">
        <v>134</v>
      </c>
      <c r="D58" s="13"/>
      <c r="E58" s="14"/>
      <c r="F58" s="14"/>
      <c r="G58" s="15"/>
      <c r="H58" s="15"/>
      <c r="I58" s="14"/>
      <c r="J58" s="14"/>
      <c r="K58" s="15"/>
      <c r="L58" s="15"/>
      <c r="M58" s="18"/>
      <c r="N58" s="16"/>
      <c r="O58" s="15"/>
      <c r="P58" s="18"/>
      <c r="Q58" s="18">
        <f>23</f>
        <v>23</v>
      </c>
      <c r="R58" s="14"/>
      <c r="S58" s="19"/>
      <c r="T58" s="11">
        <f>23</f>
        <v>23</v>
      </c>
    </row>
    <row r="59" spans="1:20" x14ac:dyDescent="0.25">
      <c r="A59" s="5">
        <f t="shared" si="0"/>
        <v>58</v>
      </c>
      <c r="B59" s="6" t="s">
        <v>121</v>
      </c>
      <c r="C59" s="26" t="s">
        <v>122</v>
      </c>
      <c r="D59" s="14"/>
      <c r="E59" s="14"/>
      <c r="F59" s="14"/>
      <c r="G59" s="13"/>
      <c r="H59" s="14"/>
      <c r="I59" s="14"/>
      <c r="J59" s="14"/>
      <c r="K59" s="14"/>
      <c r="L59" s="14"/>
      <c r="M59" s="14"/>
      <c r="N59" s="16"/>
      <c r="O59" s="15"/>
      <c r="P59" s="14"/>
      <c r="Q59" s="14">
        <f>22.5</f>
        <v>22.5</v>
      </c>
      <c r="R59" s="14"/>
      <c r="S59" s="23"/>
      <c r="T59" s="11">
        <f>22.5</f>
        <v>22.5</v>
      </c>
    </row>
    <row r="60" spans="1:20" x14ac:dyDescent="0.25">
      <c r="A60" s="5">
        <f t="shared" si="0"/>
        <v>59</v>
      </c>
      <c r="B60" s="6">
        <v>803</v>
      </c>
      <c r="C60" s="26" t="s">
        <v>79</v>
      </c>
      <c r="D60" s="14"/>
      <c r="E60" s="14"/>
      <c r="F60" s="14"/>
      <c r="G60" s="13"/>
      <c r="H60" s="14"/>
      <c r="I60" s="14"/>
      <c r="J60" s="14">
        <v>22</v>
      </c>
      <c r="K60" s="14"/>
      <c r="L60" s="14"/>
      <c r="M60" s="14"/>
      <c r="N60" s="16"/>
      <c r="O60" s="15"/>
      <c r="P60" s="14"/>
      <c r="Q60" s="14"/>
      <c r="R60" s="14"/>
      <c r="S60" s="23"/>
      <c r="T60" s="11">
        <f>22</f>
        <v>22</v>
      </c>
    </row>
    <row r="61" spans="1:20" x14ac:dyDescent="0.25">
      <c r="A61" s="5">
        <f t="shared" si="0"/>
        <v>60</v>
      </c>
      <c r="B61" s="6">
        <v>47</v>
      </c>
      <c r="C61" s="7" t="s">
        <v>34</v>
      </c>
      <c r="D61" s="14"/>
      <c r="E61" s="14"/>
      <c r="F61" s="14"/>
      <c r="G61" s="14"/>
      <c r="H61" s="13">
        <v>11</v>
      </c>
      <c r="I61" s="15">
        <v>10</v>
      </c>
      <c r="J61" s="15"/>
      <c r="K61" s="18"/>
      <c r="L61" s="18"/>
      <c r="M61" s="18"/>
      <c r="N61" s="16"/>
      <c r="O61" s="18"/>
      <c r="P61" s="18"/>
      <c r="Q61" s="18"/>
      <c r="R61" s="18"/>
      <c r="S61" s="19"/>
      <c r="T61" s="11">
        <f>11+10</f>
        <v>21</v>
      </c>
    </row>
    <row r="62" spans="1:20" x14ac:dyDescent="0.25">
      <c r="A62" s="5">
        <f t="shared" si="0"/>
        <v>61</v>
      </c>
      <c r="B62" s="6">
        <v>253</v>
      </c>
      <c r="C62" s="7" t="s">
        <v>63</v>
      </c>
      <c r="D62" s="14"/>
      <c r="E62" s="14">
        <f>5</f>
        <v>5</v>
      </c>
      <c r="F62" s="14"/>
      <c r="G62" s="14"/>
      <c r="H62" s="15">
        <v>13</v>
      </c>
      <c r="I62" s="15">
        <v>8</v>
      </c>
      <c r="J62" s="15"/>
      <c r="K62" s="15"/>
      <c r="L62" s="15"/>
      <c r="M62" s="15"/>
      <c r="N62" s="16"/>
      <c r="O62" s="15"/>
      <c r="P62" s="15"/>
      <c r="Q62" s="15"/>
      <c r="R62" s="15"/>
      <c r="S62" s="17"/>
      <c r="T62" s="11">
        <f>13+8</f>
        <v>21</v>
      </c>
    </row>
    <row r="63" spans="1:20" x14ac:dyDescent="0.25">
      <c r="A63" s="5">
        <f t="shared" si="0"/>
        <v>62</v>
      </c>
      <c r="B63" s="6">
        <v>104</v>
      </c>
      <c r="C63" s="7" t="s">
        <v>53</v>
      </c>
      <c r="D63" s="14"/>
      <c r="E63" s="14"/>
      <c r="F63" s="13"/>
      <c r="G63" s="15"/>
      <c r="H63" s="15">
        <f>7+6</f>
        <v>13</v>
      </c>
      <c r="I63" s="14">
        <v>4</v>
      </c>
      <c r="J63" s="14"/>
      <c r="K63" s="14"/>
      <c r="L63" s="14"/>
      <c r="M63" s="14"/>
      <c r="N63" s="16"/>
      <c r="O63" s="14">
        <f>7</f>
        <v>7</v>
      </c>
      <c r="P63" s="14"/>
      <c r="Q63" s="14"/>
      <c r="R63" s="14"/>
      <c r="S63" s="20"/>
      <c r="T63" s="11">
        <f>13+7</f>
        <v>20</v>
      </c>
    </row>
    <row r="64" spans="1:20" x14ac:dyDescent="0.25">
      <c r="A64" s="5">
        <f t="shared" si="0"/>
        <v>63</v>
      </c>
      <c r="B64" s="6">
        <v>314</v>
      </c>
      <c r="C64" s="26" t="s">
        <v>67</v>
      </c>
      <c r="D64" s="14">
        <f>10</f>
        <v>10</v>
      </c>
      <c r="E64" s="14"/>
      <c r="F64" s="14">
        <f>10</f>
        <v>10</v>
      </c>
      <c r="G64" s="14"/>
      <c r="H64" s="13"/>
      <c r="I64" s="13"/>
      <c r="J64" s="13"/>
      <c r="K64" s="18"/>
      <c r="L64" s="18"/>
      <c r="M64" s="18"/>
      <c r="N64" s="16"/>
      <c r="O64" s="18"/>
      <c r="P64" s="18"/>
      <c r="Q64" s="18"/>
      <c r="R64" s="18"/>
      <c r="S64" s="19"/>
      <c r="T64" s="11">
        <f>10+10</f>
        <v>20</v>
      </c>
    </row>
    <row r="65" spans="1:20" x14ac:dyDescent="0.25">
      <c r="A65" s="5">
        <f t="shared" si="0"/>
        <v>64</v>
      </c>
      <c r="B65" s="6" t="s">
        <v>139</v>
      </c>
      <c r="C65" s="26" t="s">
        <v>140</v>
      </c>
      <c r="D65" s="13"/>
      <c r="E65" s="14"/>
      <c r="F65" s="14"/>
      <c r="G65" s="15"/>
      <c r="H65" s="15">
        <v>18</v>
      </c>
      <c r="I65" s="14"/>
      <c r="J65" s="14"/>
      <c r="K65" s="15"/>
      <c r="L65" s="15"/>
      <c r="M65" s="18"/>
      <c r="N65" s="16"/>
      <c r="O65" s="15"/>
      <c r="P65" s="18"/>
      <c r="Q65" s="18"/>
      <c r="R65" s="14"/>
      <c r="S65" s="19"/>
      <c r="T65" s="11">
        <f>18</f>
        <v>18</v>
      </c>
    </row>
    <row r="66" spans="1:20" x14ac:dyDescent="0.25">
      <c r="A66" s="5">
        <f t="shared" si="0"/>
        <v>65</v>
      </c>
      <c r="B66" s="6">
        <v>397</v>
      </c>
      <c r="C66" s="26" t="s">
        <v>72</v>
      </c>
      <c r="D66" s="13"/>
      <c r="E66" s="14">
        <f>7</f>
        <v>7</v>
      </c>
      <c r="F66" s="14"/>
      <c r="G66" s="15"/>
      <c r="H66" s="15">
        <v>10</v>
      </c>
      <c r="I66" s="14">
        <v>6</v>
      </c>
      <c r="J66" s="14"/>
      <c r="K66" s="15"/>
      <c r="L66" s="15"/>
      <c r="M66" s="18"/>
      <c r="N66" s="16"/>
      <c r="O66" s="15"/>
      <c r="P66" s="18"/>
      <c r="Q66" s="18"/>
      <c r="R66" s="14"/>
      <c r="S66" s="19"/>
      <c r="T66" s="11">
        <f>10+7</f>
        <v>17</v>
      </c>
    </row>
    <row r="67" spans="1:20" x14ac:dyDescent="0.25">
      <c r="A67" s="5">
        <f t="shared" si="0"/>
        <v>66</v>
      </c>
      <c r="B67" s="6" t="s">
        <v>131</v>
      </c>
      <c r="C67" s="26" t="s">
        <v>132</v>
      </c>
      <c r="D67" s="13"/>
      <c r="E67" s="14"/>
      <c r="F67" s="13"/>
      <c r="G67" s="14"/>
      <c r="H67" s="13"/>
      <c r="I67" s="15"/>
      <c r="J67" s="15"/>
      <c r="K67" s="18"/>
      <c r="L67" s="18"/>
      <c r="M67" s="18"/>
      <c r="N67" s="16"/>
      <c r="O67" s="18">
        <f>15</f>
        <v>15</v>
      </c>
      <c r="P67" s="18"/>
      <c r="Q67" s="18"/>
      <c r="R67" s="18"/>
      <c r="S67" s="19"/>
      <c r="T67" s="11">
        <f>15</f>
        <v>15</v>
      </c>
    </row>
    <row r="68" spans="1:20" x14ac:dyDescent="0.25">
      <c r="A68" s="5">
        <f t="shared" ref="A68:A99" si="1">A67+1</f>
        <v>67</v>
      </c>
      <c r="B68" s="6">
        <v>61</v>
      </c>
      <c r="C68" s="7" t="s">
        <v>39</v>
      </c>
      <c r="D68" s="14"/>
      <c r="E68" s="14">
        <f>3</f>
        <v>3</v>
      </c>
      <c r="F68" s="14"/>
      <c r="G68" s="14"/>
      <c r="H68" s="13">
        <v>6</v>
      </c>
      <c r="I68" s="15"/>
      <c r="J68" s="15"/>
      <c r="K68" s="15"/>
      <c r="L68" s="15"/>
      <c r="M68" s="15"/>
      <c r="N68" s="16"/>
      <c r="O68" s="15">
        <f>8</f>
        <v>8</v>
      </c>
      <c r="P68" s="15"/>
      <c r="Q68" s="15"/>
      <c r="R68" s="15"/>
      <c r="S68" s="17"/>
      <c r="T68" s="11">
        <f>8+6</f>
        <v>14</v>
      </c>
    </row>
    <row r="69" spans="1:20" x14ac:dyDescent="0.25">
      <c r="A69" s="5">
        <f t="shared" si="1"/>
        <v>68</v>
      </c>
      <c r="B69" s="6">
        <v>313</v>
      </c>
      <c r="C69" s="7" t="s">
        <v>66</v>
      </c>
      <c r="D69" s="13"/>
      <c r="E69" s="14">
        <f>4</f>
        <v>4</v>
      </c>
      <c r="F69" s="15"/>
      <c r="G69" s="15"/>
      <c r="H69" s="15">
        <v>8</v>
      </c>
      <c r="I69" s="15">
        <v>5</v>
      </c>
      <c r="J69" s="15"/>
      <c r="K69" s="15"/>
      <c r="L69" s="15"/>
      <c r="M69" s="15"/>
      <c r="N69" s="16"/>
      <c r="O69" s="15"/>
      <c r="P69" s="15"/>
      <c r="Q69" s="15"/>
      <c r="R69" s="15"/>
      <c r="S69" s="17"/>
      <c r="T69" s="11">
        <f>8+5</f>
        <v>13</v>
      </c>
    </row>
    <row r="70" spans="1:20" x14ac:dyDescent="0.25">
      <c r="A70" s="5">
        <f t="shared" si="1"/>
        <v>69</v>
      </c>
      <c r="B70" s="6" t="s">
        <v>97</v>
      </c>
      <c r="C70" s="26" t="s">
        <v>98</v>
      </c>
      <c r="D70" s="13"/>
      <c r="E70" s="14"/>
      <c r="F70" s="14"/>
      <c r="G70" s="15"/>
      <c r="H70" s="15"/>
      <c r="I70" s="14"/>
      <c r="J70" s="14"/>
      <c r="K70" s="15"/>
      <c r="L70" s="15"/>
      <c r="M70" s="18"/>
      <c r="N70" s="16"/>
      <c r="O70" s="15"/>
      <c r="P70" s="18"/>
      <c r="Q70" s="18"/>
      <c r="R70" s="14">
        <f>13</f>
        <v>13</v>
      </c>
      <c r="S70" s="19"/>
      <c r="T70" s="11">
        <f>13</f>
        <v>13</v>
      </c>
    </row>
    <row r="71" spans="1:20" x14ac:dyDescent="0.25">
      <c r="A71" s="5">
        <f t="shared" si="1"/>
        <v>70</v>
      </c>
      <c r="B71" s="6" t="s">
        <v>91</v>
      </c>
      <c r="C71" s="26" t="s">
        <v>92</v>
      </c>
      <c r="D71" s="13"/>
      <c r="E71" s="14"/>
      <c r="F71" s="14"/>
      <c r="G71" s="15"/>
      <c r="H71" s="15"/>
      <c r="I71" s="14"/>
      <c r="J71" s="14">
        <v>12</v>
      </c>
      <c r="K71" s="15"/>
      <c r="L71" s="15"/>
      <c r="M71" s="18"/>
      <c r="N71" s="16"/>
      <c r="O71" s="15"/>
      <c r="P71" s="18"/>
      <c r="Q71" s="18"/>
      <c r="R71" s="14"/>
      <c r="S71" s="19"/>
      <c r="T71" s="11">
        <f>12</f>
        <v>12</v>
      </c>
    </row>
    <row r="72" spans="1:20" x14ac:dyDescent="0.25">
      <c r="A72" s="5">
        <f t="shared" si="1"/>
        <v>71</v>
      </c>
      <c r="B72" s="6" t="s">
        <v>115</v>
      </c>
      <c r="C72" s="26" t="s">
        <v>116</v>
      </c>
      <c r="D72" s="13"/>
      <c r="E72" s="14"/>
      <c r="F72" s="14"/>
      <c r="G72" s="15"/>
      <c r="H72" s="15"/>
      <c r="I72" s="14"/>
      <c r="J72" s="14"/>
      <c r="K72" s="15"/>
      <c r="L72" s="15"/>
      <c r="M72" s="18"/>
      <c r="N72" s="16">
        <f>10.5</f>
        <v>10.5</v>
      </c>
      <c r="O72" s="15"/>
      <c r="P72" s="18"/>
      <c r="Q72" s="18"/>
      <c r="R72" s="14"/>
      <c r="S72" s="19"/>
      <c r="T72" s="11">
        <f>10.5</f>
        <v>10.5</v>
      </c>
    </row>
    <row r="73" spans="1:20" x14ac:dyDescent="0.25">
      <c r="A73" s="5">
        <f t="shared" si="1"/>
        <v>72</v>
      </c>
      <c r="B73" s="6">
        <v>844</v>
      </c>
      <c r="C73" s="26" t="s">
        <v>83</v>
      </c>
      <c r="D73" s="13"/>
      <c r="E73" s="14"/>
      <c r="F73" s="14"/>
      <c r="G73" s="15"/>
      <c r="H73" s="15"/>
      <c r="I73" s="14"/>
      <c r="J73" s="14"/>
      <c r="K73" s="15"/>
      <c r="L73" s="15"/>
      <c r="M73" s="18">
        <f>10</f>
        <v>10</v>
      </c>
      <c r="N73" s="16"/>
      <c r="O73" s="15"/>
      <c r="P73" s="18"/>
      <c r="Q73" s="18"/>
      <c r="R73" s="14"/>
      <c r="S73" s="19"/>
      <c r="T73" s="11">
        <f>10</f>
        <v>10</v>
      </c>
    </row>
    <row r="74" spans="1:20" x14ac:dyDescent="0.25">
      <c r="A74" s="5">
        <f t="shared" si="1"/>
        <v>73</v>
      </c>
      <c r="B74" s="24" t="s">
        <v>105</v>
      </c>
      <c r="C74" s="26" t="s">
        <v>106</v>
      </c>
      <c r="D74" s="15"/>
      <c r="E74" s="14"/>
      <c r="F74" s="15"/>
      <c r="G74" s="15"/>
      <c r="H74" s="14"/>
      <c r="I74" s="14"/>
      <c r="J74" s="14"/>
      <c r="K74" s="14"/>
      <c r="L74" s="14">
        <f>2</f>
        <v>2</v>
      </c>
      <c r="M74" s="14"/>
      <c r="N74" s="16">
        <f>8</f>
        <v>8</v>
      </c>
      <c r="O74" s="14"/>
      <c r="P74" s="14"/>
      <c r="Q74" s="14"/>
      <c r="R74" s="14"/>
      <c r="S74" s="20"/>
      <c r="T74" s="11">
        <f>8+2</f>
        <v>10</v>
      </c>
    </row>
    <row r="75" spans="1:20" x14ac:dyDescent="0.25">
      <c r="A75" s="5">
        <f t="shared" si="1"/>
        <v>74</v>
      </c>
      <c r="B75" s="6" t="s">
        <v>111</v>
      </c>
      <c r="C75" s="26" t="s">
        <v>112</v>
      </c>
      <c r="D75" s="13"/>
      <c r="E75" s="14"/>
      <c r="F75" s="14"/>
      <c r="G75" s="15"/>
      <c r="H75" s="15"/>
      <c r="I75" s="14"/>
      <c r="J75" s="14"/>
      <c r="K75" s="15"/>
      <c r="L75" s="15"/>
      <c r="M75" s="18"/>
      <c r="N75" s="16"/>
      <c r="O75" s="15">
        <f>10</f>
        <v>10</v>
      </c>
      <c r="P75" s="18"/>
      <c r="Q75" s="18"/>
      <c r="R75" s="14"/>
      <c r="S75" s="19"/>
      <c r="T75" s="11">
        <f>10</f>
        <v>10</v>
      </c>
    </row>
    <row r="76" spans="1:20" x14ac:dyDescent="0.25">
      <c r="A76" s="5">
        <f t="shared" si="1"/>
        <v>75</v>
      </c>
      <c r="B76" s="6">
        <v>718</v>
      </c>
      <c r="C76" s="26" t="s">
        <v>76</v>
      </c>
      <c r="D76" s="14"/>
      <c r="E76" s="14"/>
      <c r="F76" s="14"/>
      <c r="G76" s="14"/>
      <c r="H76" s="13"/>
      <c r="I76" s="15"/>
      <c r="J76" s="15">
        <v>9</v>
      </c>
      <c r="K76" s="14"/>
      <c r="L76" s="15"/>
      <c r="M76" s="14"/>
      <c r="N76" s="16"/>
      <c r="O76" s="14"/>
      <c r="P76" s="14"/>
      <c r="Q76" s="14"/>
      <c r="R76" s="15"/>
      <c r="S76" s="20"/>
      <c r="T76" s="11">
        <f>9</f>
        <v>9</v>
      </c>
    </row>
    <row r="77" spans="1:20" x14ac:dyDescent="0.25">
      <c r="A77" s="5">
        <f t="shared" si="1"/>
        <v>76</v>
      </c>
      <c r="B77" s="6">
        <v>806</v>
      </c>
      <c r="C77" s="26" t="s">
        <v>80</v>
      </c>
      <c r="D77" s="13"/>
      <c r="E77" s="14"/>
      <c r="F77" s="14"/>
      <c r="G77" s="15"/>
      <c r="H77" s="15"/>
      <c r="I77" s="14"/>
      <c r="J77" s="14"/>
      <c r="K77" s="15"/>
      <c r="L77" s="15"/>
      <c r="M77" s="18"/>
      <c r="N77" s="16"/>
      <c r="O77" s="15"/>
      <c r="P77" s="18"/>
      <c r="Q77" s="18">
        <f>8.5</f>
        <v>8.5</v>
      </c>
      <c r="R77" s="14"/>
      <c r="S77" s="19"/>
      <c r="T77" s="11">
        <f>8.5</f>
        <v>8.5</v>
      </c>
    </row>
    <row r="78" spans="1:20" x14ac:dyDescent="0.25">
      <c r="A78" s="5">
        <f t="shared" si="1"/>
        <v>77</v>
      </c>
      <c r="B78" s="6">
        <v>24</v>
      </c>
      <c r="C78" s="21" t="s">
        <v>27</v>
      </c>
      <c r="D78" s="14"/>
      <c r="E78" s="14"/>
      <c r="F78" s="13">
        <f>7</f>
        <v>7</v>
      </c>
      <c r="G78" s="15"/>
      <c r="H78" s="14"/>
      <c r="I78" s="14"/>
      <c r="J78" s="14"/>
      <c r="K78" s="14"/>
      <c r="L78" s="14"/>
      <c r="M78" s="14"/>
      <c r="N78" s="16"/>
      <c r="O78" s="14"/>
      <c r="P78" s="14"/>
      <c r="Q78" s="14"/>
      <c r="R78" s="14"/>
      <c r="S78" s="20"/>
      <c r="T78" s="11">
        <f>7</f>
        <v>7</v>
      </c>
    </row>
    <row r="79" spans="1:20" x14ac:dyDescent="0.25">
      <c r="A79" s="5">
        <f t="shared" si="1"/>
        <v>78</v>
      </c>
      <c r="B79" s="6">
        <v>819</v>
      </c>
      <c r="C79" s="26" t="s">
        <v>82</v>
      </c>
      <c r="D79" s="13"/>
      <c r="E79" s="14"/>
      <c r="F79" s="14"/>
      <c r="G79" s="15"/>
      <c r="H79" s="15"/>
      <c r="I79" s="14"/>
      <c r="J79" s="14">
        <v>7</v>
      </c>
      <c r="K79" s="15"/>
      <c r="L79" s="15"/>
      <c r="M79" s="18"/>
      <c r="N79" s="16"/>
      <c r="O79" s="15"/>
      <c r="P79" s="18"/>
      <c r="Q79" s="18"/>
      <c r="R79" s="14"/>
      <c r="S79" s="19"/>
      <c r="T79" s="11">
        <f>7</f>
        <v>7</v>
      </c>
    </row>
    <row r="80" spans="1:20" x14ac:dyDescent="0.25">
      <c r="A80" s="5">
        <f t="shared" si="1"/>
        <v>79</v>
      </c>
      <c r="B80" s="24">
        <v>166</v>
      </c>
      <c r="C80" s="26" t="s">
        <v>58</v>
      </c>
      <c r="D80" s="14"/>
      <c r="E80" s="14"/>
      <c r="F80" s="14"/>
      <c r="G80" s="14"/>
      <c r="H80" s="13"/>
      <c r="I80" s="13"/>
      <c r="J80" s="13"/>
      <c r="K80" s="18"/>
      <c r="L80" s="18">
        <f>2.5</f>
        <v>2.5</v>
      </c>
      <c r="M80" s="18">
        <f>4</f>
        <v>4</v>
      </c>
      <c r="N80" s="16"/>
      <c r="O80" s="18"/>
      <c r="P80" s="18"/>
      <c r="Q80" s="18"/>
      <c r="R80" s="18"/>
      <c r="S80" s="19"/>
      <c r="T80" s="11">
        <f>4+2.5</f>
        <v>6.5</v>
      </c>
    </row>
    <row r="81" spans="1:20" x14ac:dyDescent="0.25">
      <c r="A81" s="5">
        <f t="shared" si="1"/>
        <v>80</v>
      </c>
      <c r="B81" s="6">
        <v>676</v>
      </c>
      <c r="C81" s="7" t="s">
        <v>75</v>
      </c>
      <c r="D81" s="14"/>
      <c r="E81" s="14"/>
      <c r="F81" s="14"/>
      <c r="G81" s="14"/>
      <c r="H81" s="13"/>
      <c r="I81" s="15"/>
      <c r="J81" s="15"/>
      <c r="K81" s="14"/>
      <c r="L81" s="15">
        <f>5.5</f>
        <v>5.5</v>
      </c>
      <c r="M81" s="14"/>
      <c r="N81" s="16"/>
      <c r="O81" s="14"/>
      <c r="P81" s="14"/>
      <c r="Q81" s="14"/>
      <c r="R81" s="15">
        <f>0.5</f>
        <v>0.5</v>
      </c>
      <c r="S81" s="20"/>
      <c r="T81" s="11">
        <f>5.5+0.5</f>
        <v>6</v>
      </c>
    </row>
    <row r="82" spans="1:20" x14ac:dyDescent="0.25">
      <c r="A82" s="5">
        <f t="shared" si="1"/>
        <v>81</v>
      </c>
      <c r="B82" s="6">
        <v>777</v>
      </c>
      <c r="C82" s="7" t="s">
        <v>78</v>
      </c>
      <c r="D82" s="14"/>
      <c r="E82" s="14"/>
      <c r="F82" s="14"/>
      <c r="G82" s="13"/>
      <c r="H82" s="14"/>
      <c r="I82" s="14"/>
      <c r="J82" s="14"/>
      <c r="K82" s="14"/>
      <c r="L82" s="14"/>
      <c r="M82" s="14"/>
      <c r="N82" s="16"/>
      <c r="O82" s="15">
        <f>6</f>
        <v>6</v>
      </c>
      <c r="P82" s="14"/>
      <c r="Q82" s="14"/>
      <c r="R82" s="14"/>
      <c r="S82" s="23"/>
      <c r="T82" s="11">
        <f>6</f>
        <v>6</v>
      </c>
    </row>
    <row r="83" spans="1:20" x14ac:dyDescent="0.25">
      <c r="A83" s="5">
        <f t="shared" si="1"/>
        <v>82</v>
      </c>
      <c r="B83" s="6">
        <v>965</v>
      </c>
      <c r="C83" s="26" t="s">
        <v>87</v>
      </c>
      <c r="D83" s="13"/>
      <c r="E83" s="14"/>
      <c r="F83" s="14"/>
      <c r="G83" s="15"/>
      <c r="H83" s="15"/>
      <c r="I83" s="14"/>
      <c r="J83" s="14"/>
      <c r="K83" s="15"/>
      <c r="L83" s="15">
        <f>6</f>
        <v>6</v>
      </c>
      <c r="M83" s="18"/>
      <c r="N83" s="16"/>
      <c r="O83" s="15"/>
      <c r="P83" s="18"/>
      <c r="Q83" s="18"/>
      <c r="R83" s="14"/>
      <c r="S83" s="19"/>
      <c r="T83" s="11">
        <f>6</f>
        <v>6</v>
      </c>
    </row>
    <row r="84" spans="1:20" x14ac:dyDescent="0.25">
      <c r="A84" s="5">
        <f t="shared" si="1"/>
        <v>83</v>
      </c>
      <c r="B84" s="6" t="s">
        <v>135</v>
      </c>
      <c r="C84" s="26" t="s">
        <v>136</v>
      </c>
      <c r="D84" s="14"/>
      <c r="E84" s="14"/>
      <c r="F84" s="14"/>
      <c r="G84" s="14"/>
      <c r="H84" s="13"/>
      <c r="I84" s="15"/>
      <c r="J84" s="15"/>
      <c r="K84" s="14"/>
      <c r="L84" s="15">
        <f>1</f>
        <v>1</v>
      </c>
      <c r="M84" s="14"/>
      <c r="N84" s="16">
        <f>4.5</f>
        <v>4.5</v>
      </c>
      <c r="O84" s="14"/>
      <c r="P84" s="14"/>
      <c r="Q84" s="14"/>
      <c r="R84" s="15"/>
      <c r="S84" s="20"/>
      <c r="T84" s="11">
        <f>1+4.5</f>
        <v>5.5</v>
      </c>
    </row>
    <row r="85" spans="1:20" x14ac:dyDescent="0.25">
      <c r="A85" s="5">
        <f t="shared" si="1"/>
        <v>84</v>
      </c>
      <c r="B85" s="6" t="s">
        <v>93</v>
      </c>
      <c r="C85" s="26" t="s">
        <v>94</v>
      </c>
      <c r="D85" s="13"/>
      <c r="E85" s="14"/>
      <c r="F85" s="14"/>
      <c r="G85" s="15"/>
      <c r="H85" s="15">
        <v>5</v>
      </c>
      <c r="I85" s="14"/>
      <c r="J85" s="14"/>
      <c r="K85" s="15"/>
      <c r="L85" s="15"/>
      <c r="M85" s="18"/>
      <c r="N85" s="16"/>
      <c r="O85" s="15"/>
      <c r="P85" s="18"/>
      <c r="Q85" s="18"/>
      <c r="R85" s="14"/>
      <c r="S85" s="19"/>
      <c r="T85" s="11">
        <f>5</f>
        <v>5</v>
      </c>
    </row>
    <row r="86" spans="1:20" x14ac:dyDescent="0.25">
      <c r="A86" s="5">
        <f t="shared" si="1"/>
        <v>85</v>
      </c>
      <c r="B86" s="6" t="s">
        <v>117</v>
      </c>
      <c r="C86" s="26" t="s">
        <v>118</v>
      </c>
      <c r="D86" s="13"/>
      <c r="E86" s="14"/>
      <c r="F86" s="14"/>
      <c r="G86" s="15"/>
      <c r="H86" s="15"/>
      <c r="I86" s="14"/>
      <c r="J86" s="14">
        <v>5</v>
      </c>
      <c r="K86" s="15"/>
      <c r="L86" s="15"/>
      <c r="M86" s="18"/>
      <c r="N86" s="16"/>
      <c r="O86" s="15"/>
      <c r="P86" s="18"/>
      <c r="Q86" s="18"/>
      <c r="R86" s="14"/>
      <c r="S86" s="19"/>
      <c r="T86" s="11">
        <f>5</f>
        <v>5</v>
      </c>
    </row>
    <row r="87" spans="1:20" x14ac:dyDescent="0.25">
      <c r="A87" s="5">
        <f t="shared" si="1"/>
        <v>86</v>
      </c>
      <c r="B87" s="6" t="s">
        <v>137</v>
      </c>
      <c r="C87" s="26" t="s">
        <v>138</v>
      </c>
      <c r="D87" s="13"/>
      <c r="E87" s="14"/>
      <c r="F87" s="14"/>
      <c r="G87" s="15"/>
      <c r="H87" s="15"/>
      <c r="I87" s="14"/>
      <c r="J87" s="14"/>
      <c r="K87" s="15"/>
      <c r="L87" s="15"/>
      <c r="M87" s="18"/>
      <c r="N87" s="16">
        <f>1</f>
        <v>1</v>
      </c>
      <c r="O87" s="15"/>
      <c r="P87" s="18"/>
      <c r="Q87" s="18">
        <f>4</f>
        <v>4</v>
      </c>
      <c r="R87" s="14"/>
      <c r="S87" s="19"/>
      <c r="T87" s="11">
        <f>1+4</f>
        <v>5</v>
      </c>
    </row>
    <row r="88" spans="1:20" x14ac:dyDescent="0.25">
      <c r="A88" s="5">
        <f t="shared" si="1"/>
        <v>87</v>
      </c>
      <c r="B88" s="6">
        <v>36</v>
      </c>
      <c r="C88" s="7" t="s">
        <v>31</v>
      </c>
      <c r="D88" s="14"/>
      <c r="E88" s="14"/>
      <c r="F88" s="14"/>
      <c r="G88" s="14"/>
      <c r="H88" s="13"/>
      <c r="I88" s="13"/>
      <c r="J88" s="13"/>
      <c r="K88" s="18"/>
      <c r="L88" s="15">
        <f>4.5</f>
        <v>4.5</v>
      </c>
      <c r="M88" s="18"/>
      <c r="N88" s="16"/>
      <c r="O88" s="18"/>
      <c r="P88" s="18"/>
      <c r="Q88" s="18"/>
      <c r="R88" s="18"/>
      <c r="S88" s="19"/>
      <c r="T88" s="11">
        <f>4.5</f>
        <v>4.5</v>
      </c>
    </row>
    <row r="89" spans="1:20" x14ac:dyDescent="0.25">
      <c r="A89" s="5">
        <f t="shared" si="1"/>
        <v>88</v>
      </c>
      <c r="B89" s="6" t="s">
        <v>141</v>
      </c>
      <c r="C89" s="26" t="s">
        <v>142</v>
      </c>
      <c r="D89" s="13"/>
      <c r="E89" s="14"/>
      <c r="F89" s="14"/>
      <c r="G89" s="15"/>
      <c r="H89" s="15"/>
      <c r="I89" s="14"/>
      <c r="J89" s="14">
        <v>4</v>
      </c>
      <c r="K89" s="15"/>
      <c r="L89" s="15"/>
      <c r="M89" s="18"/>
      <c r="N89" s="16"/>
      <c r="O89" s="15"/>
      <c r="P89" s="18"/>
      <c r="Q89" s="18"/>
      <c r="R89" s="14"/>
      <c r="S89" s="19"/>
      <c r="T89" s="11">
        <f>4</f>
        <v>4</v>
      </c>
    </row>
    <row r="90" spans="1:20" x14ac:dyDescent="0.25">
      <c r="A90" s="5">
        <f t="shared" si="1"/>
        <v>89</v>
      </c>
      <c r="B90" s="6">
        <v>479</v>
      </c>
      <c r="C90" s="7" t="s">
        <v>74</v>
      </c>
      <c r="D90" s="14"/>
      <c r="E90" s="14"/>
      <c r="F90" s="14"/>
      <c r="G90" s="14"/>
      <c r="H90" s="13"/>
      <c r="I90" s="15"/>
      <c r="J90" s="15"/>
      <c r="K90" s="18"/>
      <c r="L90" s="18"/>
      <c r="M90" s="18"/>
      <c r="N90" s="16"/>
      <c r="O90" s="18"/>
      <c r="P90" s="18"/>
      <c r="Q90" s="15">
        <f>3</f>
        <v>3</v>
      </c>
      <c r="R90" s="18"/>
      <c r="S90" s="19"/>
      <c r="T90" s="11">
        <f>3</f>
        <v>3</v>
      </c>
    </row>
    <row r="91" spans="1:20" x14ac:dyDescent="0.25">
      <c r="A91" s="5">
        <f t="shared" si="1"/>
        <v>90</v>
      </c>
      <c r="B91" s="6" t="s">
        <v>99</v>
      </c>
      <c r="C91" s="26" t="s">
        <v>100</v>
      </c>
      <c r="D91" s="13"/>
      <c r="E91" s="14"/>
      <c r="F91" s="14"/>
      <c r="G91" s="15"/>
      <c r="H91" s="15">
        <v>3</v>
      </c>
      <c r="I91" s="14"/>
      <c r="J91" s="14"/>
      <c r="K91" s="15"/>
      <c r="L91" s="15"/>
      <c r="M91" s="18"/>
      <c r="N91" s="16"/>
      <c r="O91" s="15"/>
      <c r="P91" s="18"/>
      <c r="Q91" s="18"/>
      <c r="R91" s="14"/>
      <c r="S91" s="19"/>
      <c r="T91" s="11">
        <f>3</f>
        <v>3</v>
      </c>
    </row>
    <row r="92" spans="1:20" x14ac:dyDescent="0.25">
      <c r="A92" s="5">
        <f t="shared" si="1"/>
        <v>91</v>
      </c>
      <c r="B92" s="6">
        <v>56</v>
      </c>
      <c r="C92" s="26" t="s">
        <v>38</v>
      </c>
      <c r="D92" s="14">
        <f>1</f>
        <v>1</v>
      </c>
      <c r="E92" s="14"/>
      <c r="F92" s="14">
        <f>1</f>
        <v>1</v>
      </c>
      <c r="G92" s="14"/>
      <c r="H92" s="13"/>
      <c r="I92" s="13"/>
      <c r="J92" s="13"/>
      <c r="K92" s="18"/>
      <c r="L92" s="18"/>
      <c r="M92" s="18"/>
      <c r="N92" s="16"/>
      <c r="O92" s="18"/>
      <c r="P92" s="18"/>
      <c r="Q92" s="18"/>
      <c r="R92" s="18"/>
      <c r="S92" s="19"/>
      <c r="T92" s="11">
        <f>1+1</f>
        <v>2</v>
      </c>
    </row>
    <row r="93" spans="1:20" x14ac:dyDescent="0.25">
      <c r="A93" s="5">
        <f t="shared" si="1"/>
        <v>92</v>
      </c>
      <c r="B93" s="6">
        <v>412</v>
      </c>
      <c r="C93" s="7" t="s">
        <v>73</v>
      </c>
      <c r="D93" s="13"/>
      <c r="E93" s="14"/>
      <c r="F93" s="13"/>
      <c r="G93" s="15"/>
      <c r="H93" s="13"/>
      <c r="I93" s="15"/>
      <c r="J93" s="15"/>
      <c r="K93" s="15"/>
      <c r="L93" s="15"/>
      <c r="M93" s="15"/>
      <c r="N93" s="16"/>
      <c r="O93" s="15"/>
      <c r="P93" s="15"/>
      <c r="Q93" s="15">
        <f>1.5</f>
        <v>1.5</v>
      </c>
      <c r="R93" s="15"/>
      <c r="S93" s="17"/>
      <c r="T93" s="11">
        <f>1.5</f>
        <v>1.5</v>
      </c>
    </row>
    <row r="94" spans="1:20" x14ac:dyDescent="0.25">
      <c r="A94" s="5">
        <f t="shared" si="1"/>
        <v>93</v>
      </c>
      <c r="B94" s="6">
        <v>54</v>
      </c>
      <c r="C94" s="21" t="s">
        <v>37</v>
      </c>
      <c r="D94" s="14"/>
      <c r="E94" s="14"/>
      <c r="F94" s="14"/>
      <c r="G94" s="14"/>
      <c r="H94" s="14"/>
      <c r="I94" s="15"/>
      <c r="J94" s="18">
        <v>1</v>
      </c>
      <c r="K94" s="15"/>
      <c r="L94" s="15"/>
      <c r="M94" s="15"/>
      <c r="N94" s="16"/>
      <c r="O94" s="15"/>
      <c r="P94" s="15"/>
      <c r="Q94" s="15"/>
      <c r="R94" s="14"/>
      <c r="S94" s="17"/>
      <c r="T94" s="11">
        <f>1</f>
        <v>1</v>
      </c>
    </row>
    <row r="95" spans="1:20" x14ac:dyDescent="0.25">
      <c r="A95" s="5">
        <f t="shared" si="1"/>
        <v>94</v>
      </c>
      <c r="B95" s="6">
        <v>999</v>
      </c>
      <c r="C95" s="26" t="s">
        <v>88</v>
      </c>
      <c r="D95" s="13"/>
      <c r="E95" s="14"/>
      <c r="F95" s="14"/>
      <c r="G95" s="15"/>
      <c r="H95" s="15"/>
      <c r="I95" s="14"/>
      <c r="J95" s="14">
        <v>1</v>
      </c>
      <c r="K95" s="15"/>
      <c r="L95" s="15"/>
      <c r="M95" s="18"/>
      <c r="N95" s="16"/>
      <c r="O95" s="15"/>
      <c r="P95" s="18"/>
      <c r="Q95" s="18"/>
      <c r="R95" s="14"/>
      <c r="S95" s="19"/>
      <c r="T95" s="11">
        <f>1</f>
        <v>1</v>
      </c>
    </row>
    <row r="96" spans="1:20" x14ac:dyDescent="0.25">
      <c r="A96" s="5">
        <f t="shared" si="1"/>
        <v>95</v>
      </c>
      <c r="B96" s="6" t="s">
        <v>89</v>
      </c>
      <c r="C96" s="26" t="s">
        <v>90</v>
      </c>
      <c r="D96" s="13"/>
      <c r="E96" s="14"/>
      <c r="F96" s="14"/>
      <c r="G96" s="15"/>
      <c r="H96" s="15"/>
      <c r="I96" s="14"/>
      <c r="J96" s="14"/>
      <c r="K96" s="15"/>
      <c r="L96" s="15"/>
      <c r="M96" s="18"/>
      <c r="N96" s="16"/>
      <c r="O96" s="15">
        <f>1</f>
        <v>1</v>
      </c>
      <c r="P96" s="18"/>
      <c r="Q96" s="18"/>
      <c r="R96" s="14"/>
      <c r="S96" s="19"/>
      <c r="T96" s="11">
        <f>1</f>
        <v>1</v>
      </c>
    </row>
    <row r="97" spans="1:20" x14ac:dyDescent="0.25">
      <c r="A97" s="5">
        <f t="shared" si="1"/>
        <v>96</v>
      </c>
      <c r="B97" s="6" t="s">
        <v>95</v>
      </c>
      <c r="C97" s="26" t="s">
        <v>96</v>
      </c>
      <c r="D97" s="13"/>
      <c r="E97" s="14"/>
      <c r="F97" s="14"/>
      <c r="G97" s="15"/>
      <c r="H97" s="15"/>
      <c r="I97" s="14"/>
      <c r="J97" s="14"/>
      <c r="K97" s="15"/>
      <c r="L97" s="15"/>
      <c r="M97" s="18"/>
      <c r="N97" s="16"/>
      <c r="O97" s="15">
        <f>1</f>
        <v>1</v>
      </c>
      <c r="P97" s="18"/>
      <c r="Q97" s="18"/>
      <c r="R97" s="14"/>
      <c r="S97" s="19"/>
      <c r="T97" s="11">
        <f>1</f>
        <v>1</v>
      </c>
    </row>
    <row r="98" spans="1:20" x14ac:dyDescent="0.25">
      <c r="A98" s="5">
        <f t="shared" si="1"/>
        <v>97</v>
      </c>
      <c r="B98" s="22">
        <v>81</v>
      </c>
      <c r="C98" s="21" t="s">
        <v>45</v>
      </c>
      <c r="D98" s="13"/>
      <c r="E98" s="14"/>
      <c r="F98" s="13"/>
      <c r="G98" s="13"/>
      <c r="H98" s="14"/>
      <c r="I98" s="14"/>
      <c r="J98" s="14"/>
      <c r="K98" s="14"/>
      <c r="L98" s="14"/>
      <c r="M98" s="14"/>
      <c r="N98" s="16"/>
      <c r="O98" s="14"/>
      <c r="P98" s="14"/>
      <c r="Q98" s="14"/>
      <c r="R98" s="14"/>
      <c r="S98" s="23">
        <f>0.5</f>
        <v>0.5</v>
      </c>
      <c r="T98" s="11">
        <f>0.5</f>
        <v>0.5</v>
      </c>
    </row>
    <row r="99" spans="1:20" s="30" customFormat="1" ht="16.5" thickBot="1" x14ac:dyDescent="0.3">
      <c r="A99" s="5">
        <f t="shared" si="1"/>
        <v>98</v>
      </c>
      <c r="B99" s="29">
        <v>393</v>
      </c>
      <c r="C99" s="30" t="s">
        <v>71</v>
      </c>
      <c r="D99" s="14"/>
      <c r="E99" s="14"/>
      <c r="F99" s="14"/>
      <c r="G99" s="14"/>
      <c r="H99" s="14"/>
      <c r="I99" s="15"/>
      <c r="J99" s="18"/>
      <c r="K99" s="15"/>
      <c r="L99" s="15"/>
      <c r="M99" s="15"/>
      <c r="N99" s="16"/>
      <c r="O99" s="15"/>
      <c r="P99" s="15"/>
      <c r="Q99" s="15"/>
      <c r="R99" s="15"/>
      <c r="S99" s="17">
        <f>0.5</f>
        <v>0.5</v>
      </c>
      <c r="T99" s="11">
        <f>0.5</f>
        <v>0.5</v>
      </c>
    </row>
  </sheetData>
  <sortState xmlns:xlrd2="http://schemas.microsoft.com/office/spreadsheetml/2017/richdata2" ref="A2:T99">
    <sortCondition descending="1" ref="T2:T99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17"/>
  <sheetViews>
    <sheetView workbookViewId="0">
      <selection activeCell="F10" sqref="F10"/>
    </sheetView>
  </sheetViews>
  <sheetFormatPr defaultRowHeight="15.75" x14ac:dyDescent="0.25"/>
  <cols>
    <col min="1" max="1" width="12" style="1" customWidth="1"/>
    <col min="2" max="2" width="9.140625" style="1"/>
    <col min="3" max="3" width="22.85546875" style="1" customWidth="1"/>
    <col min="4" max="16384" width="9.140625" style="1"/>
  </cols>
  <sheetData>
    <row r="1" spans="1:4" x14ac:dyDescent="0.25">
      <c r="A1" s="32" t="s">
        <v>147</v>
      </c>
    </row>
    <row r="2" spans="1:4" ht="16.5" thickBot="1" x14ac:dyDescent="0.3">
      <c r="A2" s="32"/>
    </row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 t="s">
        <v>129</v>
      </c>
      <c r="C4" s="38" t="s">
        <v>130</v>
      </c>
      <c r="D4" s="39">
        <f>94+78</f>
        <v>172</v>
      </c>
    </row>
    <row r="5" spans="1:4" x14ac:dyDescent="0.25">
      <c r="B5" s="40" t="s">
        <v>103</v>
      </c>
      <c r="C5" s="41" t="s">
        <v>104</v>
      </c>
      <c r="D5" s="42">
        <f>63+77</f>
        <v>140</v>
      </c>
    </row>
    <row r="6" spans="1:4" x14ac:dyDescent="0.25">
      <c r="B6" s="43">
        <v>1</v>
      </c>
      <c r="C6" s="41" t="s">
        <v>20</v>
      </c>
      <c r="D6" s="44">
        <f>41+78</f>
        <v>119</v>
      </c>
    </row>
    <row r="7" spans="1:4" x14ac:dyDescent="0.25">
      <c r="B7" s="43">
        <v>2</v>
      </c>
      <c r="C7" s="41" t="s">
        <v>21</v>
      </c>
      <c r="D7" s="44">
        <f>63+50</f>
        <v>113</v>
      </c>
    </row>
    <row r="8" spans="1:4" x14ac:dyDescent="0.25">
      <c r="B8" s="43">
        <v>4</v>
      </c>
      <c r="C8" s="41" t="s">
        <v>22</v>
      </c>
      <c r="D8" s="44">
        <f>41+31</f>
        <v>72</v>
      </c>
    </row>
    <row r="9" spans="1:4" x14ac:dyDescent="0.25">
      <c r="B9" s="43">
        <v>121</v>
      </c>
      <c r="C9" s="41" t="s">
        <v>55</v>
      </c>
      <c r="D9" s="44">
        <f>48</f>
        <v>48</v>
      </c>
    </row>
    <row r="10" spans="1:4" x14ac:dyDescent="0.25">
      <c r="B10" s="43">
        <v>38</v>
      </c>
      <c r="C10" s="41" t="s">
        <v>32</v>
      </c>
      <c r="D10" s="44">
        <f>45</f>
        <v>45</v>
      </c>
    </row>
    <row r="11" spans="1:4" x14ac:dyDescent="0.25">
      <c r="B11" s="45">
        <v>284</v>
      </c>
      <c r="C11" s="46" t="s">
        <v>65</v>
      </c>
      <c r="D11" s="44">
        <f>30+13</f>
        <v>43</v>
      </c>
    </row>
    <row r="12" spans="1:4" x14ac:dyDescent="0.25">
      <c r="B12" s="43">
        <v>73</v>
      </c>
      <c r="C12" s="41" t="s">
        <v>42</v>
      </c>
      <c r="D12" s="44">
        <f>18+24</f>
        <v>42</v>
      </c>
    </row>
    <row r="13" spans="1:4" x14ac:dyDescent="0.25">
      <c r="B13" s="43">
        <v>29</v>
      </c>
      <c r="C13" s="41" t="s">
        <v>28</v>
      </c>
      <c r="D13" s="44">
        <f>38</f>
        <v>38</v>
      </c>
    </row>
    <row r="14" spans="1:4" x14ac:dyDescent="0.25">
      <c r="B14" s="43">
        <v>82</v>
      </c>
      <c r="C14" s="41" t="s">
        <v>46</v>
      </c>
      <c r="D14" s="44">
        <f>18+15</f>
        <v>33</v>
      </c>
    </row>
    <row r="15" spans="1:4" x14ac:dyDescent="0.25">
      <c r="B15" s="43">
        <v>97</v>
      </c>
      <c r="C15" s="41" t="s">
        <v>51</v>
      </c>
      <c r="D15" s="44">
        <f>12</f>
        <v>12</v>
      </c>
    </row>
    <row r="16" spans="1:4" x14ac:dyDescent="0.25">
      <c r="B16" s="43">
        <v>314</v>
      </c>
      <c r="C16" s="47" t="s">
        <v>67</v>
      </c>
      <c r="D16" s="48">
        <f>10</f>
        <v>10</v>
      </c>
    </row>
    <row r="17" spans="2:4" x14ac:dyDescent="0.25">
      <c r="B17" s="43">
        <v>56</v>
      </c>
      <c r="C17" s="47" t="s">
        <v>38</v>
      </c>
      <c r="D17" s="48">
        <f>1</f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23"/>
  <sheetViews>
    <sheetView workbookViewId="0">
      <selection activeCell="C14" sqref="C14"/>
    </sheetView>
  </sheetViews>
  <sheetFormatPr defaultRowHeight="15.75" x14ac:dyDescent="0.25"/>
  <cols>
    <col min="1" max="1" width="12.570312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148</v>
      </c>
    </row>
    <row r="2" spans="1:4" ht="16.5" thickBot="1" x14ac:dyDescent="0.3">
      <c r="A2" s="32"/>
    </row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1</v>
      </c>
      <c r="C4" s="38" t="s">
        <v>20</v>
      </c>
      <c r="D4" s="9">
        <f>55+43</f>
        <v>98</v>
      </c>
    </row>
    <row r="5" spans="1:4" x14ac:dyDescent="0.25">
      <c r="B5" s="43">
        <v>73</v>
      </c>
      <c r="C5" s="41" t="s">
        <v>42</v>
      </c>
      <c r="D5" s="14">
        <f>32+36</f>
        <v>68</v>
      </c>
    </row>
    <row r="6" spans="1:4" x14ac:dyDescent="0.25">
      <c r="B6" s="43">
        <v>29</v>
      </c>
      <c r="C6" s="41" t="s">
        <v>28</v>
      </c>
      <c r="D6" s="14">
        <f>48</f>
        <v>48</v>
      </c>
    </row>
    <row r="7" spans="1:4" x14ac:dyDescent="0.25">
      <c r="B7" s="45">
        <v>284</v>
      </c>
      <c r="C7" s="46" t="s">
        <v>65</v>
      </c>
      <c r="D7" s="14">
        <f>27+20</f>
        <v>47</v>
      </c>
    </row>
    <row r="8" spans="1:4" x14ac:dyDescent="0.25">
      <c r="B8" s="43">
        <v>84</v>
      </c>
      <c r="C8" s="41" t="s">
        <v>47</v>
      </c>
      <c r="D8" s="14">
        <f>14+30</f>
        <v>44</v>
      </c>
    </row>
    <row r="9" spans="1:4" x14ac:dyDescent="0.25">
      <c r="B9" s="43">
        <v>77</v>
      </c>
      <c r="C9" s="41" t="s">
        <v>43</v>
      </c>
      <c r="D9" s="14">
        <f>42</f>
        <v>42</v>
      </c>
    </row>
    <row r="10" spans="1:4" x14ac:dyDescent="0.25">
      <c r="B10" s="43">
        <v>4</v>
      </c>
      <c r="C10" s="41" t="s">
        <v>22</v>
      </c>
      <c r="D10" s="14">
        <f>37</f>
        <v>37</v>
      </c>
    </row>
    <row r="11" spans="1:4" x14ac:dyDescent="0.25">
      <c r="B11" s="40">
        <v>126</v>
      </c>
      <c r="C11" s="41" t="s">
        <v>56</v>
      </c>
      <c r="D11" s="14">
        <f>12+25</f>
        <v>37</v>
      </c>
    </row>
    <row r="12" spans="1:4" x14ac:dyDescent="0.25">
      <c r="B12" s="43">
        <v>6</v>
      </c>
      <c r="C12" s="41" t="s">
        <v>24</v>
      </c>
      <c r="D12" s="14">
        <f>20+11</f>
        <v>31</v>
      </c>
    </row>
    <row r="13" spans="1:4" x14ac:dyDescent="0.25">
      <c r="B13" s="43">
        <v>78</v>
      </c>
      <c r="C13" s="41" t="s">
        <v>44</v>
      </c>
      <c r="D13" s="14">
        <f>23</f>
        <v>23</v>
      </c>
    </row>
    <row r="14" spans="1:4" x14ac:dyDescent="0.25">
      <c r="B14" s="40">
        <v>92</v>
      </c>
      <c r="C14" s="46" t="s">
        <v>49</v>
      </c>
      <c r="D14" s="13">
        <f>8+15</f>
        <v>23</v>
      </c>
    </row>
    <row r="15" spans="1:4" x14ac:dyDescent="0.25">
      <c r="B15" s="40">
        <v>31</v>
      </c>
      <c r="C15" s="41" t="s">
        <v>29</v>
      </c>
      <c r="D15" s="14">
        <f>17</f>
        <v>17</v>
      </c>
    </row>
    <row r="16" spans="1:4" x14ac:dyDescent="0.25">
      <c r="B16" s="43">
        <v>343</v>
      </c>
      <c r="C16" s="41" t="s">
        <v>69</v>
      </c>
      <c r="D16" s="14">
        <f>10</f>
        <v>10</v>
      </c>
    </row>
    <row r="17" spans="2:4" x14ac:dyDescent="0.25">
      <c r="B17" s="43">
        <v>247</v>
      </c>
      <c r="C17" s="47" t="s">
        <v>62</v>
      </c>
      <c r="D17" s="14">
        <f>9</f>
        <v>9</v>
      </c>
    </row>
    <row r="18" spans="2:4" x14ac:dyDescent="0.25">
      <c r="B18" s="43">
        <v>397</v>
      </c>
      <c r="C18" s="47" t="s">
        <v>72</v>
      </c>
      <c r="D18" s="14">
        <f>7</f>
        <v>7</v>
      </c>
    </row>
    <row r="19" spans="2:4" x14ac:dyDescent="0.25">
      <c r="B19" s="43">
        <v>351</v>
      </c>
      <c r="C19" s="47" t="s">
        <v>70</v>
      </c>
      <c r="D19" s="14">
        <f>6</f>
        <v>6</v>
      </c>
    </row>
    <row r="20" spans="2:4" x14ac:dyDescent="0.25">
      <c r="B20" s="43">
        <v>253</v>
      </c>
      <c r="C20" s="41" t="s">
        <v>63</v>
      </c>
      <c r="D20" s="14">
        <f>5</f>
        <v>5</v>
      </c>
    </row>
    <row r="21" spans="2:4" x14ac:dyDescent="0.25">
      <c r="B21" s="43">
        <v>313</v>
      </c>
      <c r="C21" s="41" t="s">
        <v>66</v>
      </c>
      <c r="D21" s="14">
        <f>4</f>
        <v>4</v>
      </c>
    </row>
    <row r="22" spans="2:4" x14ac:dyDescent="0.25">
      <c r="B22" s="43">
        <v>61</v>
      </c>
      <c r="C22" s="41" t="s">
        <v>39</v>
      </c>
      <c r="D22" s="14">
        <f>3</f>
        <v>3</v>
      </c>
    </row>
    <row r="23" spans="2:4" x14ac:dyDescent="0.25">
      <c r="B23" s="43">
        <v>2</v>
      </c>
      <c r="C23" s="41" t="s">
        <v>21</v>
      </c>
      <c r="D23" s="14">
        <f>1+1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5"/>
  <sheetViews>
    <sheetView workbookViewId="0">
      <selection activeCell="A3" sqref="A3"/>
    </sheetView>
  </sheetViews>
  <sheetFormatPr defaultRowHeight="15.75" x14ac:dyDescent="0.25"/>
  <cols>
    <col min="1" max="1" width="14.7109375" style="1" customWidth="1"/>
    <col min="2" max="2" width="9.140625" style="1"/>
    <col min="3" max="3" width="21.28515625" style="1" bestFit="1" customWidth="1"/>
    <col min="4" max="16384" width="9.140625" style="1"/>
  </cols>
  <sheetData>
    <row r="1" spans="1:4" x14ac:dyDescent="0.25">
      <c r="A1" s="32" t="s">
        <v>149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 t="s">
        <v>129</v>
      </c>
      <c r="C4" s="38" t="s">
        <v>130</v>
      </c>
      <c r="D4" s="8">
        <f>45+44</f>
        <v>89</v>
      </c>
    </row>
    <row r="5" spans="1:4" x14ac:dyDescent="0.25">
      <c r="B5" s="43">
        <v>4</v>
      </c>
      <c r="C5" s="41" t="s">
        <v>22</v>
      </c>
      <c r="D5" s="13">
        <f>38+31</f>
        <v>69</v>
      </c>
    </row>
    <row r="6" spans="1:4" x14ac:dyDescent="0.25">
      <c r="B6" s="40" t="s">
        <v>103</v>
      </c>
      <c r="C6" s="41" t="s">
        <v>104</v>
      </c>
      <c r="D6" s="15">
        <f>27+37</f>
        <v>64</v>
      </c>
    </row>
    <row r="7" spans="1:4" x14ac:dyDescent="0.25">
      <c r="B7" s="43">
        <v>2</v>
      </c>
      <c r="C7" s="41" t="s">
        <v>21</v>
      </c>
      <c r="D7" s="13">
        <f>32+9</f>
        <v>41</v>
      </c>
    </row>
    <row r="8" spans="1:4" x14ac:dyDescent="0.25">
      <c r="B8" s="43">
        <v>82</v>
      </c>
      <c r="C8" s="41" t="s">
        <v>46</v>
      </c>
      <c r="D8" s="13">
        <f>13+16</f>
        <v>29</v>
      </c>
    </row>
    <row r="9" spans="1:4" x14ac:dyDescent="0.25">
      <c r="B9" s="45">
        <v>284</v>
      </c>
      <c r="C9" s="46" t="s">
        <v>65</v>
      </c>
      <c r="D9" s="13">
        <f>22+6</f>
        <v>28</v>
      </c>
    </row>
    <row r="10" spans="1:4" x14ac:dyDescent="0.25">
      <c r="B10" s="43">
        <v>38</v>
      </c>
      <c r="C10" s="41" t="s">
        <v>32</v>
      </c>
      <c r="D10" s="13">
        <f>21</f>
        <v>21</v>
      </c>
    </row>
    <row r="11" spans="1:4" x14ac:dyDescent="0.25">
      <c r="B11" s="43">
        <v>121</v>
      </c>
      <c r="C11" s="41" t="s">
        <v>55</v>
      </c>
      <c r="D11" s="13">
        <f>17</f>
        <v>17</v>
      </c>
    </row>
    <row r="12" spans="1:4" x14ac:dyDescent="0.25">
      <c r="B12" s="40" t="s">
        <v>107</v>
      </c>
      <c r="C12" s="47" t="s">
        <v>108</v>
      </c>
      <c r="D12" s="15">
        <f>12</f>
        <v>12</v>
      </c>
    </row>
    <row r="13" spans="1:4" x14ac:dyDescent="0.25">
      <c r="B13" s="43">
        <v>314</v>
      </c>
      <c r="C13" s="47" t="s">
        <v>67</v>
      </c>
      <c r="D13" s="14">
        <f>10</f>
        <v>10</v>
      </c>
    </row>
    <row r="14" spans="1:4" x14ac:dyDescent="0.25">
      <c r="B14" s="43">
        <v>24</v>
      </c>
      <c r="C14" s="46" t="s">
        <v>27</v>
      </c>
      <c r="D14" s="13">
        <f>7</f>
        <v>7</v>
      </c>
    </row>
    <row r="15" spans="1:4" x14ac:dyDescent="0.25">
      <c r="B15" s="43">
        <v>56</v>
      </c>
      <c r="C15" s="47" t="s">
        <v>38</v>
      </c>
      <c r="D15" s="14">
        <f>1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0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5703125" style="1" bestFit="1" customWidth="1"/>
    <col min="4" max="16384" width="9.140625" style="1"/>
  </cols>
  <sheetData>
    <row r="1" spans="1:4" x14ac:dyDescent="0.25">
      <c r="A1" s="32" t="s">
        <v>150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49" t="s">
        <v>103</v>
      </c>
      <c r="C4" s="38" t="s">
        <v>104</v>
      </c>
      <c r="D4" s="10">
        <f>33+41</f>
        <v>74</v>
      </c>
    </row>
    <row r="5" spans="1:4" x14ac:dyDescent="0.25">
      <c r="B5" s="43">
        <v>4</v>
      </c>
      <c r="C5" s="41" t="s">
        <v>22</v>
      </c>
      <c r="D5" s="14">
        <f>40+28</f>
        <v>68</v>
      </c>
    </row>
    <row r="6" spans="1:4" x14ac:dyDescent="0.25">
      <c r="B6" s="43">
        <v>2</v>
      </c>
      <c r="C6" s="41" t="s">
        <v>21</v>
      </c>
      <c r="D6" s="15">
        <f>22+18</f>
        <v>40</v>
      </c>
    </row>
    <row r="7" spans="1:4" x14ac:dyDescent="0.25">
      <c r="B7" s="43" t="s">
        <v>129</v>
      </c>
      <c r="C7" s="41" t="s">
        <v>130</v>
      </c>
      <c r="D7" s="14">
        <f>1+34</f>
        <v>35</v>
      </c>
    </row>
    <row r="8" spans="1:4" x14ac:dyDescent="0.25">
      <c r="B8" s="43">
        <v>121</v>
      </c>
      <c r="C8" s="41" t="s">
        <v>55</v>
      </c>
      <c r="D8" s="15">
        <f>27</f>
        <v>27</v>
      </c>
    </row>
    <row r="9" spans="1:4" x14ac:dyDescent="0.25">
      <c r="B9" s="43">
        <v>38</v>
      </c>
      <c r="C9" s="41" t="s">
        <v>32</v>
      </c>
      <c r="D9" s="15">
        <f>23</f>
        <v>23</v>
      </c>
    </row>
    <row r="10" spans="1:4" x14ac:dyDescent="0.25">
      <c r="B10" s="43">
        <v>82</v>
      </c>
      <c r="C10" s="41" t="s">
        <v>46</v>
      </c>
      <c r="D10" s="15">
        <f>13</f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29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152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1</v>
      </c>
      <c r="C4" s="38" t="s">
        <v>20</v>
      </c>
      <c r="D4" s="9">
        <f>61+47</f>
        <v>108</v>
      </c>
    </row>
    <row r="5" spans="1:4" x14ac:dyDescent="0.25">
      <c r="B5" s="43">
        <v>2</v>
      </c>
      <c r="C5" s="41" t="s">
        <v>21</v>
      </c>
      <c r="D5" s="15">
        <f>48+40</f>
        <v>88</v>
      </c>
    </row>
    <row r="6" spans="1:4" x14ac:dyDescent="0.25">
      <c r="B6" s="43">
        <v>4</v>
      </c>
      <c r="C6" s="41" t="s">
        <v>22</v>
      </c>
      <c r="D6" s="13">
        <f>54+1</f>
        <v>55</v>
      </c>
    </row>
    <row r="7" spans="1:4" x14ac:dyDescent="0.25">
      <c r="B7" s="43">
        <v>84</v>
      </c>
      <c r="C7" s="41" t="s">
        <v>47</v>
      </c>
      <c r="D7" s="13">
        <f>16+29</f>
        <v>45</v>
      </c>
    </row>
    <row r="8" spans="1:4" x14ac:dyDescent="0.25">
      <c r="B8" s="43">
        <v>78</v>
      </c>
      <c r="C8" s="41" t="s">
        <v>44</v>
      </c>
      <c r="D8" s="13">
        <v>43</v>
      </c>
    </row>
    <row r="9" spans="1:4" x14ac:dyDescent="0.25">
      <c r="B9" s="45">
        <v>32</v>
      </c>
      <c r="C9" s="46" t="s">
        <v>30</v>
      </c>
      <c r="D9" s="14">
        <v>38</v>
      </c>
    </row>
    <row r="10" spans="1:4" x14ac:dyDescent="0.25">
      <c r="B10" s="45">
        <v>284</v>
      </c>
      <c r="C10" s="46" t="s">
        <v>65</v>
      </c>
      <c r="D10" s="14">
        <v>33</v>
      </c>
    </row>
    <row r="11" spans="1:4" x14ac:dyDescent="0.25">
      <c r="B11" s="43">
        <v>6</v>
      </c>
      <c r="C11" s="41" t="s">
        <v>24</v>
      </c>
      <c r="D11" s="15">
        <f>23+9</f>
        <v>32</v>
      </c>
    </row>
    <row r="12" spans="1:4" x14ac:dyDescent="0.25">
      <c r="B12" s="43">
        <v>97</v>
      </c>
      <c r="C12" s="41" t="s">
        <v>51</v>
      </c>
      <c r="D12" s="13">
        <v>29</v>
      </c>
    </row>
    <row r="13" spans="1:4" x14ac:dyDescent="0.25">
      <c r="B13" s="43">
        <v>351</v>
      </c>
      <c r="C13" s="47" t="s">
        <v>70</v>
      </c>
      <c r="D13" s="15">
        <f>12+15</f>
        <v>27</v>
      </c>
    </row>
    <row r="14" spans="1:4" x14ac:dyDescent="0.25">
      <c r="B14" s="40">
        <v>92</v>
      </c>
      <c r="C14" s="46" t="s">
        <v>49</v>
      </c>
      <c r="D14" s="13">
        <f>14+12</f>
        <v>26</v>
      </c>
    </row>
    <row r="15" spans="1:4" x14ac:dyDescent="0.25">
      <c r="B15" s="43">
        <v>343</v>
      </c>
      <c r="C15" s="41" t="s">
        <v>69</v>
      </c>
      <c r="D15" s="13">
        <v>26</v>
      </c>
    </row>
    <row r="16" spans="1:4" x14ac:dyDescent="0.25">
      <c r="B16" s="40">
        <v>126</v>
      </c>
      <c r="C16" s="41" t="s">
        <v>56</v>
      </c>
      <c r="D16" s="13">
        <f>1+19</f>
        <v>20</v>
      </c>
    </row>
    <row r="17" spans="2:4" x14ac:dyDescent="0.25">
      <c r="B17" s="40">
        <v>31</v>
      </c>
      <c r="C17" s="41" t="s">
        <v>29</v>
      </c>
      <c r="D17" s="14">
        <v>20</v>
      </c>
    </row>
    <row r="18" spans="2:4" x14ac:dyDescent="0.25">
      <c r="B18" s="43" t="s">
        <v>139</v>
      </c>
      <c r="C18" s="47" t="s">
        <v>140</v>
      </c>
      <c r="D18" s="15">
        <v>18</v>
      </c>
    </row>
    <row r="19" spans="2:4" x14ac:dyDescent="0.25">
      <c r="B19" s="43">
        <v>247</v>
      </c>
      <c r="C19" s="47" t="s">
        <v>62</v>
      </c>
      <c r="D19" s="15">
        <v>15</v>
      </c>
    </row>
    <row r="20" spans="2:4" x14ac:dyDescent="0.25">
      <c r="B20" s="43">
        <v>253</v>
      </c>
      <c r="C20" s="41" t="s">
        <v>63</v>
      </c>
      <c r="D20" s="15">
        <v>13</v>
      </c>
    </row>
    <row r="21" spans="2:4" x14ac:dyDescent="0.25">
      <c r="B21" s="43">
        <v>104</v>
      </c>
      <c r="C21" s="41" t="s">
        <v>53</v>
      </c>
      <c r="D21" s="15">
        <f>7+6</f>
        <v>13</v>
      </c>
    </row>
    <row r="22" spans="2:4" x14ac:dyDescent="0.25">
      <c r="B22" s="43">
        <v>47</v>
      </c>
      <c r="C22" s="41" t="s">
        <v>34</v>
      </c>
      <c r="D22" s="13">
        <v>11</v>
      </c>
    </row>
    <row r="23" spans="2:4" x14ac:dyDescent="0.25">
      <c r="B23" s="43">
        <v>397</v>
      </c>
      <c r="C23" s="47" t="s">
        <v>72</v>
      </c>
      <c r="D23" s="15">
        <v>10</v>
      </c>
    </row>
    <row r="24" spans="2:4" x14ac:dyDescent="0.25">
      <c r="B24" s="43" t="s">
        <v>125</v>
      </c>
      <c r="C24" s="47" t="s">
        <v>126</v>
      </c>
      <c r="D24" s="15">
        <v>9</v>
      </c>
    </row>
    <row r="25" spans="2:4" x14ac:dyDescent="0.25">
      <c r="B25" s="43">
        <v>313</v>
      </c>
      <c r="C25" s="41" t="s">
        <v>66</v>
      </c>
      <c r="D25" s="15">
        <v>8</v>
      </c>
    </row>
    <row r="26" spans="2:4" x14ac:dyDescent="0.25">
      <c r="B26" s="43">
        <v>61</v>
      </c>
      <c r="C26" s="41" t="s">
        <v>39</v>
      </c>
      <c r="D26" s="13">
        <v>6</v>
      </c>
    </row>
    <row r="27" spans="2:4" x14ac:dyDescent="0.25">
      <c r="B27" s="43" t="s">
        <v>93</v>
      </c>
      <c r="C27" s="47" t="s">
        <v>94</v>
      </c>
      <c r="D27" s="15">
        <v>5</v>
      </c>
    </row>
    <row r="28" spans="2:4" x14ac:dyDescent="0.25">
      <c r="B28" s="43">
        <v>49</v>
      </c>
      <c r="C28" s="41" t="s">
        <v>36</v>
      </c>
      <c r="D28" s="15">
        <v>4</v>
      </c>
    </row>
    <row r="29" spans="2:4" x14ac:dyDescent="0.25">
      <c r="B29" s="43" t="s">
        <v>99</v>
      </c>
      <c r="C29" s="47" t="s">
        <v>100</v>
      </c>
      <c r="D29" s="15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25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153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2</v>
      </c>
      <c r="C4" s="38" t="s">
        <v>21</v>
      </c>
      <c r="D4" s="10">
        <f>39+38</f>
        <v>77</v>
      </c>
    </row>
    <row r="5" spans="1:4" x14ac:dyDescent="0.25">
      <c r="B5" s="43">
        <v>84</v>
      </c>
      <c r="C5" s="41" t="s">
        <v>47</v>
      </c>
      <c r="D5" s="15">
        <f>22+45</f>
        <v>67</v>
      </c>
    </row>
    <row r="6" spans="1:4" x14ac:dyDescent="0.25">
      <c r="B6" s="43">
        <v>1</v>
      </c>
      <c r="C6" s="41" t="s">
        <v>20</v>
      </c>
      <c r="D6" s="14">
        <f>57+1</f>
        <v>58</v>
      </c>
    </row>
    <row r="7" spans="1:4" x14ac:dyDescent="0.25">
      <c r="B7" s="43">
        <v>73</v>
      </c>
      <c r="C7" s="41" t="s">
        <v>42</v>
      </c>
      <c r="D7" s="15">
        <f>34+22</f>
        <v>56</v>
      </c>
    </row>
    <row r="8" spans="1:4" x14ac:dyDescent="0.25">
      <c r="B8" s="43">
        <v>29</v>
      </c>
      <c r="C8" s="41" t="s">
        <v>28</v>
      </c>
      <c r="D8" s="14">
        <v>50</v>
      </c>
    </row>
    <row r="9" spans="1:4" x14ac:dyDescent="0.25">
      <c r="B9" s="43">
        <v>4</v>
      </c>
      <c r="C9" s="41" t="s">
        <v>22</v>
      </c>
      <c r="D9" s="15">
        <f>44</f>
        <v>44</v>
      </c>
    </row>
    <row r="10" spans="1:4" x14ac:dyDescent="0.25">
      <c r="B10" s="43">
        <v>351</v>
      </c>
      <c r="C10" s="47" t="s">
        <v>70</v>
      </c>
      <c r="D10" s="14">
        <f>7+32</f>
        <v>39</v>
      </c>
    </row>
    <row r="11" spans="1:4" x14ac:dyDescent="0.25">
      <c r="B11" s="45">
        <v>284</v>
      </c>
      <c r="C11" s="46" t="s">
        <v>65</v>
      </c>
      <c r="D11" s="14">
        <v>29</v>
      </c>
    </row>
    <row r="12" spans="1:4" x14ac:dyDescent="0.25">
      <c r="B12" s="43">
        <v>6</v>
      </c>
      <c r="C12" s="41" t="s">
        <v>24</v>
      </c>
      <c r="D12" s="15">
        <f>16+10</f>
        <v>26</v>
      </c>
    </row>
    <row r="13" spans="1:4" x14ac:dyDescent="0.25">
      <c r="B13" s="40">
        <v>92</v>
      </c>
      <c r="C13" s="46" t="s">
        <v>49</v>
      </c>
      <c r="D13" s="13">
        <f>9+17</f>
        <v>26</v>
      </c>
    </row>
    <row r="14" spans="1:4" x14ac:dyDescent="0.25">
      <c r="B14" s="43">
        <v>78</v>
      </c>
      <c r="C14" s="41" t="s">
        <v>44</v>
      </c>
      <c r="D14" s="15">
        <v>25</v>
      </c>
    </row>
    <row r="15" spans="1:4" x14ac:dyDescent="0.25">
      <c r="B15" s="43">
        <v>343</v>
      </c>
      <c r="C15" s="41" t="s">
        <v>69</v>
      </c>
      <c r="D15" s="13">
        <v>19</v>
      </c>
    </row>
    <row r="16" spans="1:4" x14ac:dyDescent="0.25">
      <c r="B16" s="40">
        <v>126</v>
      </c>
      <c r="C16" s="41" t="s">
        <v>56</v>
      </c>
      <c r="D16" s="13">
        <f>1+13</f>
        <v>14</v>
      </c>
    </row>
    <row r="17" spans="2:4" x14ac:dyDescent="0.25">
      <c r="B17" s="43" t="s">
        <v>119</v>
      </c>
      <c r="C17" s="47" t="s">
        <v>120</v>
      </c>
      <c r="D17" s="14">
        <v>14</v>
      </c>
    </row>
    <row r="18" spans="2:4" x14ac:dyDescent="0.25">
      <c r="B18" s="43">
        <v>66</v>
      </c>
      <c r="C18" s="41" t="s">
        <v>41</v>
      </c>
      <c r="D18" s="14">
        <v>12</v>
      </c>
    </row>
    <row r="19" spans="2:4" x14ac:dyDescent="0.25">
      <c r="B19" s="43">
        <v>247</v>
      </c>
      <c r="C19" s="47" t="s">
        <v>62</v>
      </c>
      <c r="D19" s="14">
        <v>11</v>
      </c>
    </row>
    <row r="20" spans="2:4" x14ac:dyDescent="0.25">
      <c r="B20" s="43">
        <v>47</v>
      </c>
      <c r="C20" s="41" t="s">
        <v>34</v>
      </c>
      <c r="D20" s="15">
        <v>10</v>
      </c>
    </row>
    <row r="21" spans="2:4" x14ac:dyDescent="0.25">
      <c r="B21" s="43">
        <v>253</v>
      </c>
      <c r="C21" s="41" t="s">
        <v>63</v>
      </c>
      <c r="D21" s="15">
        <v>8</v>
      </c>
    </row>
    <row r="22" spans="2:4" x14ac:dyDescent="0.25">
      <c r="B22" s="43">
        <v>397</v>
      </c>
      <c r="C22" s="47" t="s">
        <v>72</v>
      </c>
      <c r="D22" s="14">
        <v>6</v>
      </c>
    </row>
    <row r="23" spans="2:4" x14ac:dyDescent="0.25">
      <c r="B23" s="43">
        <v>313</v>
      </c>
      <c r="C23" s="41" t="s">
        <v>66</v>
      </c>
      <c r="D23" s="15">
        <v>5</v>
      </c>
    </row>
    <row r="24" spans="2:4" x14ac:dyDescent="0.25">
      <c r="B24" s="43">
        <v>104</v>
      </c>
      <c r="C24" s="41" t="s">
        <v>53</v>
      </c>
      <c r="D24" s="14">
        <v>4</v>
      </c>
    </row>
    <row r="25" spans="2:4" x14ac:dyDescent="0.25">
      <c r="B25" s="43">
        <v>97</v>
      </c>
      <c r="C25" s="41" t="s">
        <v>51</v>
      </c>
      <c r="D25" s="1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8"/>
  <sheetViews>
    <sheetView workbookViewId="0">
      <selection activeCell="C12" sqref="C12"/>
    </sheetView>
  </sheetViews>
  <sheetFormatPr defaultRowHeight="15.75" x14ac:dyDescent="0.25"/>
  <cols>
    <col min="1" max="1" width="14.7109375" style="1" customWidth="1"/>
    <col min="2" max="2" width="9.140625" style="1"/>
    <col min="3" max="3" width="24.28515625" style="1" bestFit="1" customWidth="1"/>
    <col min="4" max="16384" width="9.140625" style="1"/>
  </cols>
  <sheetData>
    <row r="1" spans="1:4" x14ac:dyDescent="0.25">
      <c r="A1" s="32" t="s">
        <v>154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813</v>
      </c>
      <c r="C4" s="50" t="s">
        <v>81</v>
      </c>
      <c r="D4" s="9">
        <f>43+25</f>
        <v>68</v>
      </c>
    </row>
    <row r="5" spans="1:4" x14ac:dyDescent="0.25">
      <c r="B5" s="51">
        <v>204</v>
      </c>
      <c r="C5" s="46" t="s">
        <v>59</v>
      </c>
      <c r="D5" s="18">
        <v>50</v>
      </c>
    </row>
    <row r="6" spans="1:4" x14ac:dyDescent="0.25">
      <c r="B6" s="43" t="s">
        <v>145</v>
      </c>
      <c r="C6" s="47" t="s">
        <v>146</v>
      </c>
      <c r="D6" s="14">
        <v>37</v>
      </c>
    </row>
    <row r="7" spans="1:4" x14ac:dyDescent="0.25">
      <c r="B7" s="43" t="s">
        <v>113</v>
      </c>
      <c r="C7" s="47" t="s">
        <v>114</v>
      </c>
      <c r="D7" s="14">
        <v>32</v>
      </c>
    </row>
    <row r="8" spans="1:4" x14ac:dyDescent="0.25">
      <c r="B8" s="43">
        <v>230</v>
      </c>
      <c r="C8" s="47" t="s">
        <v>61</v>
      </c>
      <c r="D8" s="15">
        <v>27</v>
      </c>
    </row>
    <row r="9" spans="1:4" x14ac:dyDescent="0.25">
      <c r="B9" s="43">
        <v>803</v>
      </c>
      <c r="C9" s="47" t="s">
        <v>79</v>
      </c>
      <c r="D9" s="14">
        <v>22</v>
      </c>
    </row>
    <row r="10" spans="1:4" x14ac:dyDescent="0.25">
      <c r="B10" s="43" t="s">
        <v>123</v>
      </c>
      <c r="C10" s="47" t="s">
        <v>124</v>
      </c>
      <c r="D10" s="14">
        <v>18</v>
      </c>
    </row>
    <row r="11" spans="1:4" x14ac:dyDescent="0.25">
      <c r="B11" s="43" t="s">
        <v>109</v>
      </c>
      <c r="C11" s="47" t="s">
        <v>110</v>
      </c>
      <c r="D11" s="14">
        <v>15</v>
      </c>
    </row>
    <row r="12" spans="1:4" x14ac:dyDescent="0.25">
      <c r="B12" s="43" t="s">
        <v>91</v>
      </c>
      <c r="C12" s="47" t="s">
        <v>92</v>
      </c>
      <c r="D12" s="14">
        <v>12</v>
      </c>
    </row>
    <row r="13" spans="1:4" x14ac:dyDescent="0.25">
      <c r="B13" s="43">
        <v>718</v>
      </c>
      <c r="C13" s="47" t="s">
        <v>76</v>
      </c>
      <c r="D13" s="15">
        <v>9</v>
      </c>
    </row>
    <row r="14" spans="1:4" x14ac:dyDescent="0.25">
      <c r="B14" s="43">
        <v>819</v>
      </c>
      <c r="C14" s="47" t="s">
        <v>82</v>
      </c>
      <c r="D14" s="14">
        <v>7</v>
      </c>
    </row>
    <row r="15" spans="1:4" x14ac:dyDescent="0.25">
      <c r="B15" s="43" t="s">
        <v>117</v>
      </c>
      <c r="C15" s="47" t="s">
        <v>118</v>
      </c>
      <c r="D15" s="14">
        <v>5</v>
      </c>
    </row>
    <row r="16" spans="1:4" x14ac:dyDescent="0.25">
      <c r="B16" s="43" t="s">
        <v>141</v>
      </c>
      <c r="C16" s="47" t="s">
        <v>142</v>
      </c>
      <c r="D16" s="14">
        <v>4</v>
      </c>
    </row>
    <row r="17" spans="2:4" x14ac:dyDescent="0.25">
      <c r="B17" s="43">
        <v>54</v>
      </c>
      <c r="C17" s="46" t="s">
        <v>37</v>
      </c>
      <c r="D17" s="18">
        <v>1</v>
      </c>
    </row>
    <row r="18" spans="2:4" x14ac:dyDescent="0.25">
      <c r="B18" s="43">
        <v>999</v>
      </c>
      <c r="C18" s="47" t="s">
        <v>88</v>
      </c>
      <c r="D18" s="1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8"/>
  <sheetViews>
    <sheetView workbookViewId="0">
      <selection activeCell="F14" sqref="F14"/>
    </sheetView>
  </sheetViews>
  <sheetFormatPr defaultRowHeight="15.75" x14ac:dyDescent="0.25"/>
  <cols>
    <col min="1" max="1" width="14.7109375" style="1" customWidth="1"/>
    <col min="2" max="2" width="9.140625" style="1"/>
    <col min="3" max="3" width="18.7109375" style="1" bestFit="1" customWidth="1"/>
    <col min="4" max="16384" width="9.140625" style="1"/>
  </cols>
  <sheetData>
    <row r="1" spans="1:4" x14ac:dyDescent="0.25">
      <c r="A1" s="32" t="s">
        <v>155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 t="s">
        <v>127</v>
      </c>
      <c r="C4" s="38" t="s">
        <v>128</v>
      </c>
      <c r="D4" s="10">
        <f>32+32</f>
        <v>64</v>
      </c>
    </row>
    <row r="5" spans="1:4" x14ac:dyDescent="0.25">
      <c r="B5" s="43" t="s">
        <v>109</v>
      </c>
      <c r="C5" s="47" t="s">
        <v>110</v>
      </c>
      <c r="D5" s="15">
        <f>39+10</f>
        <v>49</v>
      </c>
    </row>
    <row r="6" spans="1:4" x14ac:dyDescent="0.25">
      <c r="B6" s="43" t="s">
        <v>125</v>
      </c>
      <c r="C6" s="47" t="s">
        <v>126</v>
      </c>
      <c r="D6" s="15">
        <f>26</f>
        <v>26</v>
      </c>
    </row>
    <row r="7" spans="1:4" x14ac:dyDescent="0.25">
      <c r="B7" s="51">
        <v>204</v>
      </c>
      <c r="C7" s="46" t="s">
        <v>59</v>
      </c>
      <c r="D7" s="13">
        <f>21</f>
        <v>21</v>
      </c>
    </row>
    <row r="8" spans="1:4" x14ac:dyDescent="0.25">
      <c r="B8" s="43">
        <v>88</v>
      </c>
      <c r="C8" s="47" t="s">
        <v>48</v>
      </c>
      <c r="D8" s="14">
        <f>1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18"/>
  <sheetViews>
    <sheetView workbookViewId="0">
      <selection activeCell="F6" sqref="F6"/>
    </sheetView>
  </sheetViews>
  <sheetFormatPr defaultRowHeight="15.75" x14ac:dyDescent="0.25"/>
  <cols>
    <col min="1" max="1" width="14.7109375" style="1" customWidth="1"/>
    <col min="2" max="2" width="9.140625" style="1"/>
    <col min="3" max="3" width="31.140625" style="1" bestFit="1" customWidth="1"/>
    <col min="4" max="16384" width="9.140625" style="1"/>
  </cols>
  <sheetData>
    <row r="1" spans="1:4" x14ac:dyDescent="0.25">
      <c r="A1" s="32" t="s">
        <v>156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 t="s">
        <v>109</v>
      </c>
      <c r="C4" s="50" t="s">
        <v>110</v>
      </c>
      <c r="D4" s="10">
        <f>21+36.5</f>
        <v>57.5</v>
      </c>
    </row>
    <row r="5" spans="1:4" x14ac:dyDescent="0.25">
      <c r="B5" s="51">
        <v>204</v>
      </c>
      <c r="C5" s="46" t="s">
        <v>59</v>
      </c>
      <c r="D5" s="13">
        <f>43</f>
        <v>43</v>
      </c>
    </row>
    <row r="6" spans="1:4" x14ac:dyDescent="0.25">
      <c r="B6" s="40">
        <v>31</v>
      </c>
      <c r="C6" s="41" t="s">
        <v>29</v>
      </c>
      <c r="D6" s="13">
        <f>43</f>
        <v>43</v>
      </c>
    </row>
    <row r="7" spans="1:4" x14ac:dyDescent="0.25">
      <c r="B7" s="43">
        <v>93</v>
      </c>
      <c r="C7" s="52" t="s">
        <v>50</v>
      </c>
      <c r="D7" s="13">
        <f>31</f>
        <v>31</v>
      </c>
    </row>
    <row r="8" spans="1:4" x14ac:dyDescent="0.25">
      <c r="B8" s="43">
        <v>107</v>
      </c>
      <c r="C8" s="41" t="s">
        <v>54</v>
      </c>
      <c r="D8" s="15">
        <f>31</f>
        <v>31</v>
      </c>
    </row>
    <row r="9" spans="1:4" x14ac:dyDescent="0.25">
      <c r="B9" s="43">
        <v>99</v>
      </c>
      <c r="C9" s="47" t="s">
        <v>52</v>
      </c>
      <c r="D9" s="15">
        <f>21</f>
        <v>21</v>
      </c>
    </row>
    <row r="10" spans="1:4" x14ac:dyDescent="0.25">
      <c r="B10" s="45">
        <v>46</v>
      </c>
      <c r="C10" s="41" t="s">
        <v>33</v>
      </c>
      <c r="D10" s="14">
        <f>15</f>
        <v>15</v>
      </c>
    </row>
    <row r="11" spans="1:4" x14ac:dyDescent="0.25">
      <c r="B11" s="43">
        <v>17</v>
      </c>
      <c r="C11" s="46" t="s">
        <v>25</v>
      </c>
      <c r="D11" s="15">
        <f>14.5</f>
        <v>14.5</v>
      </c>
    </row>
    <row r="12" spans="1:4" x14ac:dyDescent="0.25">
      <c r="B12" s="43">
        <v>769</v>
      </c>
      <c r="C12" s="47" t="s">
        <v>77</v>
      </c>
      <c r="D12" s="15">
        <f>8.5</f>
        <v>8.5</v>
      </c>
    </row>
    <row r="13" spans="1:4" x14ac:dyDescent="0.25">
      <c r="B13" s="43">
        <v>965</v>
      </c>
      <c r="C13" s="47" t="s">
        <v>87</v>
      </c>
      <c r="D13" s="15">
        <f>6</f>
        <v>6</v>
      </c>
    </row>
    <row r="14" spans="1:4" x14ac:dyDescent="0.25">
      <c r="B14" s="43">
        <v>676</v>
      </c>
      <c r="C14" s="41" t="s">
        <v>75</v>
      </c>
      <c r="D14" s="15">
        <f>5.5</f>
        <v>5.5</v>
      </c>
    </row>
    <row r="15" spans="1:4" x14ac:dyDescent="0.25">
      <c r="B15" s="43">
        <v>36</v>
      </c>
      <c r="C15" s="41" t="s">
        <v>31</v>
      </c>
      <c r="D15" s="15">
        <f>4.5</f>
        <v>4.5</v>
      </c>
    </row>
    <row r="16" spans="1:4" x14ac:dyDescent="0.25">
      <c r="B16" s="40">
        <v>166</v>
      </c>
      <c r="C16" s="47" t="s">
        <v>58</v>
      </c>
      <c r="D16" s="18">
        <f>2.5</f>
        <v>2.5</v>
      </c>
    </row>
    <row r="17" spans="2:4" x14ac:dyDescent="0.25">
      <c r="B17" s="40" t="s">
        <v>105</v>
      </c>
      <c r="C17" s="47" t="s">
        <v>106</v>
      </c>
      <c r="D17" s="14">
        <f>2</f>
        <v>2</v>
      </c>
    </row>
    <row r="18" spans="2:4" x14ac:dyDescent="0.25">
      <c r="B18" s="43" t="s">
        <v>135</v>
      </c>
      <c r="C18" s="47" t="s">
        <v>136</v>
      </c>
      <c r="D18" s="15">
        <f>1</f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2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157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 t="s">
        <v>109</v>
      </c>
      <c r="C4" s="50" t="s">
        <v>110</v>
      </c>
      <c r="D4" s="53">
        <f>26.5+38.5</f>
        <v>65</v>
      </c>
    </row>
    <row r="5" spans="1:4" x14ac:dyDescent="0.25">
      <c r="B5" s="51">
        <v>204</v>
      </c>
      <c r="C5" s="46" t="s">
        <v>59</v>
      </c>
      <c r="D5" s="13">
        <f>34</f>
        <v>34</v>
      </c>
    </row>
    <row r="6" spans="1:4" x14ac:dyDescent="0.25">
      <c r="B6" s="43">
        <v>902</v>
      </c>
      <c r="C6" s="47" t="s">
        <v>85</v>
      </c>
      <c r="D6" s="18">
        <f>30.5</f>
        <v>30.5</v>
      </c>
    </row>
    <row r="7" spans="1:4" x14ac:dyDescent="0.25">
      <c r="B7" s="40">
        <v>31</v>
      </c>
      <c r="C7" s="41" t="s">
        <v>29</v>
      </c>
      <c r="D7" s="13">
        <f>18</f>
        <v>18</v>
      </c>
    </row>
    <row r="8" spans="1:4" x14ac:dyDescent="0.25">
      <c r="B8" s="43">
        <v>93</v>
      </c>
      <c r="C8" s="52" t="s">
        <v>50</v>
      </c>
      <c r="D8" s="13">
        <f>12.5</f>
        <v>12.5</v>
      </c>
    </row>
    <row r="9" spans="1:4" x14ac:dyDescent="0.25">
      <c r="B9" s="45">
        <v>46</v>
      </c>
      <c r="C9" s="41" t="s">
        <v>33</v>
      </c>
      <c r="D9" s="14">
        <f>12.5</f>
        <v>12.5</v>
      </c>
    </row>
    <row r="10" spans="1:4" x14ac:dyDescent="0.25">
      <c r="B10" s="43">
        <v>844</v>
      </c>
      <c r="C10" s="47" t="s">
        <v>83</v>
      </c>
      <c r="D10" s="18">
        <f>10</f>
        <v>10</v>
      </c>
    </row>
    <row r="11" spans="1:4" x14ac:dyDescent="0.25">
      <c r="B11" s="43">
        <v>99</v>
      </c>
      <c r="C11" s="47" t="s">
        <v>52</v>
      </c>
      <c r="D11" s="18">
        <f>5.5</f>
        <v>5.5</v>
      </c>
    </row>
    <row r="12" spans="1:4" x14ac:dyDescent="0.25">
      <c r="B12" s="40">
        <v>166</v>
      </c>
      <c r="C12" s="47" t="s">
        <v>58</v>
      </c>
      <c r="D12" s="18">
        <f>4</f>
        <v>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4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1.140625" style="1" bestFit="1" customWidth="1"/>
    <col min="4" max="16384" width="9.140625" style="1"/>
  </cols>
  <sheetData>
    <row r="1" spans="1:4" x14ac:dyDescent="0.25">
      <c r="A1" s="32" t="s">
        <v>158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17</v>
      </c>
      <c r="C4" s="54" t="s">
        <v>25</v>
      </c>
      <c r="D4" s="55">
        <f>18.5+32</f>
        <v>50.5</v>
      </c>
    </row>
    <row r="5" spans="1:4" x14ac:dyDescent="0.25">
      <c r="B5" s="43">
        <v>64</v>
      </c>
      <c r="C5" s="46" t="s">
        <v>40</v>
      </c>
      <c r="D5" s="16">
        <f>28.5+17</f>
        <v>45.5</v>
      </c>
    </row>
    <row r="6" spans="1:4" x14ac:dyDescent="0.25">
      <c r="B6" s="43">
        <v>107</v>
      </c>
      <c r="C6" s="41" t="s">
        <v>54</v>
      </c>
      <c r="D6" s="16">
        <f>41</f>
        <v>41</v>
      </c>
    </row>
    <row r="7" spans="1:4" x14ac:dyDescent="0.25">
      <c r="B7" s="40">
        <v>339</v>
      </c>
      <c r="C7" s="46" t="s">
        <v>68</v>
      </c>
      <c r="D7" s="16">
        <f>18.5+0.5</f>
        <v>19</v>
      </c>
    </row>
    <row r="8" spans="1:4" x14ac:dyDescent="0.25">
      <c r="B8" s="43">
        <v>769</v>
      </c>
      <c r="C8" s="47" t="s">
        <v>77</v>
      </c>
      <c r="D8" s="16">
        <f>15.5</f>
        <v>15.5</v>
      </c>
    </row>
    <row r="9" spans="1:4" x14ac:dyDescent="0.25">
      <c r="B9" s="43" t="s">
        <v>115</v>
      </c>
      <c r="C9" s="47" t="s">
        <v>116</v>
      </c>
      <c r="D9" s="16">
        <f>10.5</f>
        <v>10.5</v>
      </c>
    </row>
    <row r="10" spans="1:4" x14ac:dyDescent="0.25">
      <c r="B10" s="40" t="s">
        <v>105</v>
      </c>
      <c r="C10" s="47" t="s">
        <v>106</v>
      </c>
      <c r="D10" s="16">
        <f>8</f>
        <v>8</v>
      </c>
    </row>
    <row r="11" spans="1:4" x14ac:dyDescent="0.25">
      <c r="B11" s="43" t="s">
        <v>135</v>
      </c>
      <c r="C11" s="47" t="s">
        <v>136</v>
      </c>
      <c r="D11" s="16">
        <f>4.5</f>
        <v>4.5</v>
      </c>
    </row>
    <row r="12" spans="1:4" x14ac:dyDescent="0.25">
      <c r="B12" s="43">
        <v>914</v>
      </c>
      <c r="C12" s="47" t="s">
        <v>86</v>
      </c>
      <c r="D12" s="16">
        <f>3</f>
        <v>3</v>
      </c>
    </row>
    <row r="13" spans="1:4" x14ac:dyDescent="0.25">
      <c r="B13" s="43">
        <v>901</v>
      </c>
      <c r="C13" s="47" t="s">
        <v>84</v>
      </c>
      <c r="D13" s="16">
        <f>2</f>
        <v>2</v>
      </c>
    </row>
    <row r="14" spans="1:4" x14ac:dyDescent="0.25">
      <c r="B14" s="43" t="s">
        <v>137</v>
      </c>
      <c r="C14" s="47" t="s">
        <v>138</v>
      </c>
      <c r="D14" s="16">
        <f>1</f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21"/>
  <sheetViews>
    <sheetView workbookViewId="0">
      <selection activeCell="F13" sqref="F13"/>
    </sheetView>
  </sheetViews>
  <sheetFormatPr defaultRowHeight="15.75" x14ac:dyDescent="0.25"/>
  <cols>
    <col min="1" max="1" width="14.7109375" style="1" customWidth="1"/>
    <col min="2" max="2" width="9.140625" style="1"/>
    <col min="3" max="3" width="21.28515625" style="1" bestFit="1" customWidth="1"/>
    <col min="4" max="16384" width="9.140625" style="1"/>
  </cols>
  <sheetData>
    <row r="1" spans="1:4" x14ac:dyDescent="0.25">
      <c r="A1" s="32" t="s">
        <v>159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77</v>
      </c>
      <c r="C4" s="38" t="s">
        <v>43</v>
      </c>
      <c r="D4" s="10">
        <f>53</f>
        <v>53</v>
      </c>
    </row>
    <row r="5" spans="1:4" x14ac:dyDescent="0.25">
      <c r="B5" s="43" t="s">
        <v>143</v>
      </c>
      <c r="C5" s="47" t="s">
        <v>144</v>
      </c>
      <c r="D5" s="15">
        <f>46</f>
        <v>46</v>
      </c>
    </row>
    <row r="6" spans="1:4" x14ac:dyDescent="0.25">
      <c r="B6" s="43">
        <v>88</v>
      </c>
      <c r="C6" s="47" t="s">
        <v>48</v>
      </c>
      <c r="D6" s="14">
        <f>40</f>
        <v>40</v>
      </c>
    </row>
    <row r="7" spans="1:4" x14ac:dyDescent="0.25">
      <c r="B7" s="43">
        <v>5</v>
      </c>
      <c r="C7" s="41" t="s">
        <v>23</v>
      </c>
      <c r="D7" s="14">
        <f>35</f>
        <v>35</v>
      </c>
    </row>
    <row r="8" spans="1:4" x14ac:dyDescent="0.25">
      <c r="B8" s="43" t="s">
        <v>127</v>
      </c>
      <c r="C8" s="41" t="s">
        <v>128</v>
      </c>
      <c r="D8" s="15">
        <f>1+30</f>
        <v>31</v>
      </c>
    </row>
    <row r="9" spans="1:4" x14ac:dyDescent="0.25">
      <c r="B9" s="43" t="s">
        <v>101</v>
      </c>
      <c r="C9" s="47" t="s">
        <v>102</v>
      </c>
      <c r="D9" s="15">
        <f>30</f>
        <v>30</v>
      </c>
    </row>
    <row r="10" spans="1:4" x14ac:dyDescent="0.25">
      <c r="B10" s="43" t="s">
        <v>119</v>
      </c>
      <c r="C10" s="47" t="s">
        <v>120</v>
      </c>
      <c r="D10" s="15">
        <f>25</f>
        <v>25</v>
      </c>
    </row>
    <row r="11" spans="1:4" x14ac:dyDescent="0.25">
      <c r="B11" s="43" t="s">
        <v>125</v>
      </c>
      <c r="C11" s="47" t="s">
        <v>126</v>
      </c>
      <c r="D11" s="15">
        <f>21</f>
        <v>21</v>
      </c>
    </row>
    <row r="12" spans="1:4" x14ac:dyDescent="0.25">
      <c r="B12" s="43" t="s">
        <v>145</v>
      </c>
      <c r="C12" s="47" t="s">
        <v>146</v>
      </c>
      <c r="D12" s="15">
        <f>18</f>
        <v>18</v>
      </c>
    </row>
    <row r="13" spans="1:4" x14ac:dyDescent="0.25">
      <c r="B13" s="43" t="s">
        <v>131</v>
      </c>
      <c r="C13" s="47" t="s">
        <v>132</v>
      </c>
      <c r="D13" s="18">
        <f>15</f>
        <v>15</v>
      </c>
    </row>
    <row r="14" spans="1:4" x14ac:dyDescent="0.25">
      <c r="B14" s="43" t="s">
        <v>123</v>
      </c>
      <c r="C14" s="47" t="s">
        <v>124</v>
      </c>
      <c r="D14" s="15">
        <f>12</f>
        <v>12</v>
      </c>
    </row>
    <row r="15" spans="1:4" x14ac:dyDescent="0.25">
      <c r="B15" s="43" t="s">
        <v>111</v>
      </c>
      <c r="C15" s="47" t="s">
        <v>112</v>
      </c>
      <c r="D15" s="15">
        <f>10</f>
        <v>10</v>
      </c>
    </row>
    <row r="16" spans="1:4" x14ac:dyDescent="0.25">
      <c r="B16" s="43">
        <v>61</v>
      </c>
      <c r="C16" s="41" t="s">
        <v>39</v>
      </c>
      <c r="D16" s="15">
        <f>8</f>
        <v>8</v>
      </c>
    </row>
    <row r="17" spans="2:4" x14ac:dyDescent="0.25">
      <c r="B17" s="43">
        <v>104</v>
      </c>
      <c r="C17" s="41" t="s">
        <v>53</v>
      </c>
      <c r="D17" s="14">
        <f>7</f>
        <v>7</v>
      </c>
    </row>
    <row r="18" spans="2:4" x14ac:dyDescent="0.25">
      <c r="B18" s="43">
        <v>777</v>
      </c>
      <c r="C18" s="41" t="s">
        <v>78</v>
      </c>
      <c r="D18" s="15">
        <f>6</f>
        <v>6</v>
      </c>
    </row>
    <row r="19" spans="2:4" x14ac:dyDescent="0.25">
      <c r="B19" s="43" t="s">
        <v>113</v>
      </c>
      <c r="C19" s="47" t="s">
        <v>114</v>
      </c>
      <c r="D19" s="15">
        <f>1</f>
        <v>1</v>
      </c>
    </row>
    <row r="20" spans="2:4" x14ac:dyDescent="0.25">
      <c r="B20" s="43" t="s">
        <v>89</v>
      </c>
      <c r="C20" s="47" t="s">
        <v>90</v>
      </c>
      <c r="D20" s="15">
        <f>1</f>
        <v>1</v>
      </c>
    </row>
    <row r="21" spans="2:4" x14ac:dyDescent="0.25">
      <c r="B21" s="43" t="s">
        <v>95</v>
      </c>
      <c r="C21" s="47" t="s">
        <v>96</v>
      </c>
      <c r="D21" s="15">
        <f>1</f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8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160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343</v>
      </c>
      <c r="C4" s="38" t="s">
        <v>69</v>
      </c>
      <c r="D4" s="53">
        <f>40</f>
        <v>40</v>
      </c>
    </row>
    <row r="5" spans="1:4" x14ac:dyDescent="0.25">
      <c r="B5" s="43">
        <v>66</v>
      </c>
      <c r="C5" s="41" t="s">
        <v>41</v>
      </c>
      <c r="D5" s="14">
        <f>33</f>
        <v>33</v>
      </c>
    </row>
    <row r="6" spans="1:4" x14ac:dyDescent="0.25">
      <c r="B6" s="40" t="s">
        <v>107</v>
      </c>
      <c r="C6" s="47" t="s">
        <v>108</v>
      </c>
      <c r="D6" s="14">
        <f>27</f>
        <v>27</v>
      </c>
    </row>
    <row r="7" spans="1:4" x14ac:dyDescent="0.25">
      <c r="B7" s="43">
        <v>49</v>
      </c>
      <c r="C7" s="41" t="s">
        <v>36</v>
      </c>
      <c r="D7" s="14">
        <f>22</f>
        <v>22</v>
      </c>
    </row>
    <row r="8" spans="1:4" x14ac:dyDescent="0.25">
      <c r="B8" s="45">
        <v>32</v>
      </c>
      <c r="C8" s="46" t="s">
        <v>30</v>
      </c>
      <c r="D8" s="18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7"/>
  <sheetViews>
    <sheetView workbookViewId="0">
      <selection activeCell="A3" sqref="A3:D3"/>
    </sheetView>
  </sheetViews>
  <sheetFormatPr defaultRowHeight="15.75" x14ac:dyDescent="0.25"/>
  <cols>
    <col min="1" max="1" width="14.7109375" style="1" customWidth="1"/>
    <col min="2" max="2" width="9.140625" style="1"/>
    <col min="3" max="3" width="20.7109375" style="1" bestFit="1" customWidth="1"/>
    <col min="4" max="16384" width="9.140625" style="1"/>
  </cols>
  <sheetData>
    <row r="1" spans="1:4" x14ac:dyDescent="0.25">
      <c r="A1" s="32" t="s">
        <v>161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23</v>
      </c>
      <c r="C4" s="38" t="s">
        <v>26</v>
      </c>
      <c r="D4" s="10">
        <f>25+42.5</f>
        <v>67.5</v>
      </c>
    </row>
    <row r="5" spans="1:4" x14ac:dyDescent="0.25">
      <c r="B5" s="43">
        <v>914</v>
      </c>
      <c r="C5" s="47" t="s">
        <v>86</v>
      </c>
      <c r="D5" s="18">
        <f>22.5+27</f>
        <v>49.5</v>
      </c>
    </row>
    <row r="6" spans="1:4" x14ac:dyDescent="0.25">
      <c r="B6" s="45">
        <v>46</v>
      </c>
      <c r="C6" s="41" t="s">
        <v>33</v>
      </c>
      <c r="D6" s="15">
        <f>38+10.5</f>
        <v>48.5</v>
      </c>
    </row>
    <row r="7" spans="1:4" x14ac:dyDescent="0.25">
      <c r="B7" s="43">
        <v>272</v>
      </c>
      <c r="C7" s="41" t="s">
        <v>64</v>
      </c>
      <c r="D7" s="15">
        <f>44.5</f>
        <v>44.5</v>
      </c>
    </row>
    <row r="8" spans="1:4" x14ac:dyDescent="0.25">
      <c r="B8" s="43">
        <v>901</v>
      </c>
      <c r="C8" s="47" t="s">
        <v>84</v>
      </c>
      <c r="D8" s="18">
        <f>13+19.5</f>
        <v>32.5</v>
      </c>
    </row>
    <row r="9" spans="1:4" x14ac:dyDescent="0.25">
      <c r="B9" s="43">
        <v>48</v>
      </c>
      <c r="C9" s="41" t="s">
        <v>35</v>
      </c>
      <c r="D9" s="15">
        <f>32.5</f>
        <v>32.5</v>
      </c>
    </row>
    <row r="10" spans="1:4" x14ac:dyDescent="0.25">
      <c r="B10" s="43" t="s">
        <v>133</v>
      </c>
      <c r="C10" s="47" t="s">
        <v>134</v>
      </c>
      <c r="D10" s="18">
        <f>23</f>
        <v>23</v>
      </c>
    </row>
    <row r="11" spans="1:4" x14ac:dyDescent="0.25">
      <c r="B11" s="43" t="s">
        <v>121</v>
      </c>
      <c r="C11" s="47" t="s">
        <v>122</v>
      </c>
      <c r="D11" s="14">
        <f>22.5</f>
        <v>22.5</v>
      </c>
    </row>
    <row r="12" spans="1:4" x14ac:dyDescent="0.25">
      <c r="B12" s="43">
        <v>213</v>
      </c>
      <c r="C12" s="46" t="s">
        <v>60</v>
      </c>
      <c r="D12" s="18">
        <f>8.5</f>
        <v>8.5</v>
      </c>
    </row>
    <row r="13" spans="1:4" x14ac:dyDescent="0.25">
      <c r="B13" s="43">
        <v>806</v>
      </c>
      <c r="C13" s="47" t="s">
        <v>80</v>
      </c>
      <c r="D13" s="18">
        <f>8.5</f>
        <v>8.5</v>
      </c>
    </row>
    <row r="14" spans="1:4" x14ac:dyDescent="0.25">
      <c r="B14" s="40">
        <v>339</v>
      </c>
      <c r="C14" s="46" t="s">
        <v>68</v>
      </c>
      <c r="D14" s="15">
        <f>8</f>
        <v>8</v>
      </c>
    </row>
    <row r="15" spans="1:4" x14ac:dyDescent="0.25">
      <c r="B15" s="43" t="s">
        <v>137</v>
      </c>
      <c r="C15" s="47" t="s">
        <v>138</v>
      </c>
      <c r="D15" s="18">
        <f>4</f>
        <v>4</v>
      </c>
    </row>
    <row r="16" spans="1:4" x14ac:dyDescent="0.25">
      <c r="B16" s="43">
        <v>479</v>
      </c>
      <c r="C16" s="41" t="s">
        <v>74</v>
      </c>
      <c r="D16" s="15">
        <f>3</f>
        <v>3</v>
      </c>
    </row>
    <row r="17" spans="2:4" x14ac:dyDescent="0.25">
      <c r="B17" s="43">
        <v>412</v>
      </c>
      <c r="C17" s="41" t="s">
        <v>73</v>
      </c>
      <c r="D17" s="15">
        <f>1.5</f>
        <v>1.5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7"/>
  <sheetViews>
    <sheetView workbookViewId="0">
      <selection activeCell="E14" sqref="E14"/>
    </sheetView>
  </sheetViews>
  <sheetFormatPr defaultRowHeight="15.75" x14ac:dyDescent="0.25"/>
  <cols>
    <col min="1" max="1" width="14.7109375" style="1" customWidth="1"/>
    <col min="2" max="2" width="9.140625" style="1"/>
    <col min="3" max="3" width="21.85546875" style="1" bestFit="1" customWidth="1"/>
    <col min="4" max="16384" width="9.140625" style="1"/>
  </cols>
  <sheetData>
    <row r="1" spans="1:4" x14ac:dyDescent="0.25">
      <c r="A1" s="32" t="s">
        <v>162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49">
        <v>149</v>
      </c>
      <c r="C4" s="50" t="s">
        <v>57</v>
      </c>
      <c r="D4" s="53">
        <f>37.5</f>
        <v>37.5</v>
      </c>
    </row>
    <row r="5" spans="1:4" x14ac:dyDescent="0.25">
      <c r="B5" s="43">
        <v>213</v>
      </c>
      <c r="C5" s="46" t="s">
        <v>60</v>
      </c>
      <c r="D5" s="13">
        <f>16</f>
        <v>16</v>
      </c>
    </row>
    <row r="6" spans="1:4" x14ac:dyDescent="0.25">
      <c r="B6" s="43" t="s">
        <v>97</v>
      </c>
      <c r="C6" s="47" t="s">
        <v>98</v>
      </c>
      <c r="D6" s="14">
        <f>13</f>
        <v>13</v>
      </c>
    </row>
    <row r="7" spans="1:4" x14ac:dyDescent="0.25">
      <c r="B7" s="43">
        <v>676</v>
      </c>
      <c r="C7" s="41" t="s">
        <v>75</v>
      </c>
      <c r="D7" s="15">
        <f>0.5</f>
        <v>0.5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6"/>
  <sheetViews>
    <sheetView workbookViewId="0">
      <selection activeCell="C13" sqref="C13"/>
    </sheetView>
  </sheetViews>
  <sheetFormatPr defaultRowHeight="15.75" x14ac:dyDescent="0.25"/>
  <cols>
    <col min="1" max="1" width="14.7109375" style="1" customWidth="1"/>
    <col min="2" max="2" width="9.140625" style="1"/>
    <col min="3" max="3" width="22" style="1" bestFit="1" customWidth="1"/>
    <col min="4" max="16384" width="9.140625" style="1"/>
  </cols>
  <sheetData>
    <row r="1" spans="1:4" x14ac:dyDescent="0.25">
      <c r="A1" s="32" t="s">
        <v>163</v>
      </c>
    </row>
    <row r="2" spans="1:4" ht="16.5" thickBot="1" x14ac:dyDescent="0.3"/>
    <row r="3" spans="1:4" ht="32.25" thickBot="1" x14ac:dyDescent="0.3">
      <c r="A3" s="34" t="s">
        <v>0</v>
      </c>
      <c r="B3" s="35" t="s">
        <v>1</v>
      </c>
      <c r="C3" s="36" t="s">
        <v>2</v>
      </c>
      <c r="D3" s="33" t="s">
        <v>151</v>
      </c>
    </row>
    <row r="4" spans="1:4" x14ac:dyDescent="0.25">
      <c r="B4" s="37">
        <v>230</v>
      </c>
      <c r="C4" s="60" t="s">
        <v>61</v>
      </c>
      <c r="D4" s="53">
        <f>19</f>
        <v>19</v>
      </c>
    </row>
    <row r="5" spans="1:4" x14ac:dyDescent="0.25">
      <c r="B5" s="45">
        <v>81</v>
      </c>
      <c r="C5" s="61" t="s">
        <v>45</v>
      </c>
      <c r="D5" s="13">
        <f>0.5</f>
        <v>0.5</v>
      </c>
    </row>
    <row r="6" spans="1:4" x14ac:dyDescent="0.25">
      <c r="B6" s="43">
        <v>393</v>
      </c>
      <c r="C6" s="62" t="s">
        <v>71</v>
      </c>
      <c r="D6" s="15">
        <f>0.5</f>
        <v>0.5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11"/>
  <sheetViews>
    <sheetView workbookViewId="0">
      <selection activeCell="E17" sqref="E17"/>
    </sheetView>
  </sheetViews>
  <sheetFormatPr defaultRowHeight="15.75" x14ac:dyDescent="0.25"/>
  <cols>
    <col min="1" max="1" width="14.7109375" style="58" customWidth="1"/>
    <col min="2" max="2" width="9.140625" style="58"/>
    <col min="3" max="3" width="23.140625" style="58" bestFit="1" customWidth="1"/>
    <col min="4" max="16384" width="9.140625" style="58"/>
  </cols>
  <sheetData>
    <row r="1" spans="1:4" x14ac:dyDescent="0.25">
      <c r="A1" s="57" t="s">
        <v>164</v>
      </c>
    </row>
    <row r="2" spans="1:4" ht="16.5" thickBot="1" x14ac:dyDescent="0.3"/>
    <row r="3" spans="1:4" ht="32.25" thickBot="1" x14ac:dyDescent="0.3">
      <c r="A3" s="66" t="s">
        <v>0</v>
      </c>
      <c r="B3" s="68" t="s">
        <v>1</v>
      </c>
      <c r="C3" s="68" t="s">
        <v>2</v>
      </c>
      <c r="D3" s="59" t="s">
        <v>151</v>
      </c>
    </row>
    <row r="4" spans="1:4" x14ac:dyDescent="0.25">
      <c r="B4" s="67" t="s">
        <v>177</v>
      </c>
      <c r="C4" s="67" t="s">
        <v>171</v>
      </c>
      <c r="D4" s="69">
        <f>24+38+40</f>
        <v>102</v>
      </c>
    </row>
    <row r="5" spans="1:4" x14ac:dyDescent="0.25">
      <c r="B5" s="63" t="s">
        <v>178</v>
      </c>
      <c r="C5" s="63" t="s">
        <v>174</v>
      </c>
      <c r="D5" s="64">
        <f>10+38+31+22</f>
        <v>101</v>
      </c>
    </row>
    <row r="6" spans="1:4" x14ac:dyDescent="0.25">
      <c r="B6" s="63">
        <v>864</v>
      </c>
      <c r="C6" s="63" t="s">
        <v>170</v>
      </c>
      <c r="D6" s="64">
        <f>29+31+33</f>
        <v>93</v>
      </c>
    </row>
    <row r="7" spans="1:4" x14ac:dyDescent="0.25">
      <c r="B7" s="63">
        <v>829</v>
      </c>
      <c r="C7" s="63" t="s">
        <v>173</v>
      </c>
      <c r="D7" s="64">
        <f>14+25+17</f>
        <v>56</v>
      </c>
    </row>
    <row r="8" spans="1:4" x14ac:dyDescent="0.25">
      <c r="B8" s="63">
        <v>704</v>
      </c>
      <c r="C8" s="65" t="s">
        <v>175</v>
      </c>
      <c r="D8" s="64">
        <f>25+27</f>
        <v>52</v>
      </c>
    </row>
    <row r="9" spans="1:4" x14ac:dyDescent="0.25">
      <c r="B9" s="63" t="s">
        <v>176</v>
      </c>
      <c r="C9" s="63" t="s">
        <v>168</v>
      </c>
      <c r="D9" s="64">
        <f>42</f>
        <v>42</v>
      </c>
    </row>
    <row r="10" spans="1:4" x14ac:dyDescent="0.25">
      <c r="B10" s="63">
        <v>869</v>
      </c>
      <c r="C10" s="63" t="s">
        <v>169</v>
      </c>
      <c r="D10" s="64">
        <f>35</f>
        <v>35</v>
      </c>
    </row>
    <row r="11" spans="1:4" x14ac:dyDescent="0.25">
      <c r="B11" s="63">
        <v>800</v>
      </c>
      <c r="C11" s="63" t="s">
        <v>172</v>
      </c>
      <c r="D11" s="64">
        <f>19</f>
        <v>19</v>
      </c>
    </row>
  </sheetData>
  <sortState xmlns:xlrd2="http://schemas.microsoft.com/office/spreadsheetml/2017/richdata2" ref="B4:D11">
    <sortCondition descending="1" ref="D4:D1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4"/>
  <sheetViews>
    <sheetView topLeftCell="A2" workbookViewId="0">
      <selection activeCell="F17" sqref="F17"/>
    </sheetView>
  </sheetViews>
  <sheetFormatPr defaultRowHeight="15.75" x14ac:dyDescent="0.25"/>
  <cols>
    <col min="1" max="1" width="14.7109375" style="58" customWidth="1"/>
    <col min="2" max="2" width="9.140625" style="58"/>
    <col min="3" max="3" width="22.7109375" style="58" bestFit="1" customWidth="1"/>
    <col min="4" max="16384" width="9.140625" style="58"/>
  </cols>
  <sheetData>
    <row r="1" spans="1:4" x14ac:dyDescent="0.25">
      <c r="A1" s="57" t="s">
        <v>165</v>
      </c>
    </row>
    <row r="2" spans="1:4" ht="16.5" thickBot="1" x14ac:dyDescent="0.3"/>
    <row r="3" spans="1:4" ht="32.25" thickBot="1" x14ac:dyDescent="0.3">
      <c r="A3" s="66" t="s">
        <v>0</v>
      </c>
      <c r="B3" s="68" t="s">
        <v>1</v>
      </c>
      <c r="C3" s="68" t="s">
        <v>2</v>
      </c>
      <c r="D3" s="59" t="s">
        <v>151</v>
      </c>
    </row>
    <row r="4" spans="1:4" x14ac:dyDescent="0.25">
      <c r="B4" s="72">
        <v>969</v>
      </c>
      <c r="C4" s="67" t="s">
        <v>185</v>
      </c>
      <c r="D4" s="73">
        <f>18+41+41+1</f>
        <v>101</v>
      </c>
    </row>
    <row r="5" spans="1:4" x14ac:dyDescent="0.25">
      <c r="B5" s="63">
        <v>701</v>
      </c>
      <c r="C5" s="65" t="s">
        <v>195</v>
      </c>
      <c r="D5" s="64">
        <f>48+46</f>
        <v>94</v>
      </c>
    </row>
    <row r="6" spans="1:4" x14ac:dyDescent="0.25">
      <c r="B6" s="63">
        <v>900</v>
      </c>
      <c r="C6" s="63" t="s">
        <v>184</v>
      </c>
      <c r="D6" s="64">
        <f>22+30+39</f>
        <v>91</v>
      </c>
    </row>
    <row r="7" spans="1:4" x14ac:dyDescent="0.25">
      <c r="B7" s="63">
        <v>913</v>
      </c>
      <c r="C7" s="63" t="s">
        <v>180</v>
      </c>
      <c r="D7" s="64">
        <f>43+35+1</f>
        <v>79</v>
      </c>
    </row>
    <row r="8" spans="1:4" x14ac:dyDescent="0.25">
      <c r="B8" s="63">
        <v>802</v>
      </c>
      <c r="C8" s="63" t="s">
        <v>182</v>
      </c>
      <c r="D8" s="64">
        <f>32+34</f>
        <v>66</v>
      </c>
    </row>
    <row r="9" spans="1:4" x14ac:dyDescent="0.25">
      <c r="B9" s="70">
        <v>916</v>
      </c>
      <c r="C9" s="63" t="s">
        <v>187</v>
      </c>
      <c r="D9" s="71">
        <f>12+28+10+8</f>
        <v>58</v>
      </c>
    </row>
    <row r="10" spans="1:4" x14ac:dyDescent="0.25">
      <c r="B10" s="70" t="s">
        <v>200</v>
      </c>
      <c r="C10" s="63" t="s">
        <v>186</v>
      </c>
      <c r="D10" s="71">
        <f>15+7+33</f>
        <v>55</v>
      </c>
    </row>
    <row r="11" spans="1:4" x14ac:dyDescent="0.25">
      <c r="B11" s="63">
        <v>821</v>
      </c>
      <c r="C11" s="63" t="s">
        <v>179</v>
      </c>
      <c r="D11" s="64">
        <f>50</f>
        <v>50</v>
      </c>
    </row>
    <row r="12" spans="1:4" x14ac:dyDescent="0.25">
      <c r="B12" s="70">
        <v>827</v>
      </c>
      <c r="C12" s="63" t="s">
        <v>194</v>
      </c>
      <c r="D12" s="71">
        <f>23+3+23</f>
        <v>49</v>
      </c>
    </row>
    <row r="13" spans="1:4" x14ac:dyDescent="0.25">
      <c r="B13" s="63">
        <v>905</v>
      </c>
      <c r="C13" s="63" t="s">
        <v>183</v>
      </c>
      <c r="D13" s="64">
        <f>27+13</f>
        <v>40</v>
      </c>
    </row>
    <row r="14" spans="1:4" x14ac:dyDescent="0.25">
      <c r="B14" s="63">
        <v>816</v>
      </c>
      <c r="C14" s="65" t="s">
        <v>196</v>
      </c>
      <c r="D14" s="64">
        <f>25+14</f>
        <v>39</v>
      </c>
    </row>
    <row r="15" spans="1:4" x14ac:dyDescent="0.25">
      <c r="B15" s="63">
        <v>824</v>
      </c>
      <c r="C15" s="63" t="s">
        <v>181</v>
      </c>
      <c r="D15" s="64">
        <f>37</f>
        <v>37</v>
      </c>
    </row>
    <row r="16" spans="1:4" x14ac:dyDescent="0.25">
      <c r="B16" s="70">
        <v>907</v>
      </c>
      <c r="C16" s="65" t="s">
        <v>198</v>
      </c>
      <c r="D16" s="71">
        <f>5+28</f>
        <v>33</v>
      </c>
    </row>
    <row r="17" spans="2:4" x14ac:dyDescent="0.25">
      <c r="B17" s="70">
        <v>808</v>
      </c>
      <c r="C17" s="63" t="s">
        <v>188</v>
      </c>
      <c r="D17" s="71">
        <f>9+18</f>
        <v>27</v>
      </c>
    </row>
    <row r="18" spans="2:4" x14ac:dyDescent="0.25">
      <c r="B18" s="70" t="s">
        <v>201</v>
      </c>
      <c r="C18" s="63" t="s">
        <v>189</v>
      </c>
      <c r="D18" s="71">
        <f>7+18</f>
        <v>25</v>
      </c>
    </row>
    <row r="19" spans="2:4" x14ac:dyDescent="0.25">
      <c r="B19" s="63">
        <v>721</v>
      </c>
      <c r="C19" s="65" t="s">
        <v>197</v>
      </c>
      <c r="D19" s="64">
        <f>20</f>
        <v>20</v>
      </c>
    </row>
    <row r="20" spans="2:4" x14ac:dyDescent="0.25">
      <c r="B20" s="63" t="s">
        <v>202</v>
      </c>
      <c r="C20" s="63" t="s">
        <v>191</v>
      </c>
      <c r="D20" s="64">
        <f>4+11</f>
        <v>15</v>
      </c>
    </row>
    <row r="21" spans="2:4" x14ac:dyDescent="0.25">
      <c r="B21" s="63">
        <v>911</v>
      </c>
      <c r="C21" s="63" t="s">
        <v>190</v>
      </c>
      <c r="D21" s="71">
        <f>5</f>
        <v>5</v>
      </c>
    </row>
    <row r="22" spans="2:4" x14ac:dyDescent="0.25">
      <c r="B22" s="63">
        <v>903</v>
      </c>
      <c r="C22" s="63" t="s">
        <v>193</v>
      </c>
      <c r="D22" s="64">
        <f>1+1</f>
        <v>2</v>
      </c>
    </row>
    <row r="23" spans="2:4" x14ac:dyDescent="0.25">
      <c r="B23" s="70">
        <v>812</v>
      </c>
      <c r="C23" s="65" t="s">
        <v>199</v>
      </c>
      <c r="D23" s="71">
        <f>2</f>
        <v>2</v>
      </c>
    </row>
    <row r="24" spans="2:4" x14ac:dyDescent="0.25">
      <c r="B24" s="63">
        <v>818</v>
      </c>
      <c r="C24" s="63" t="s">
        <v>192</v>
      </c>
      <c r="D24" s="64">
        <f>1</f>
        <v>1</v>
      </c>
    </row>
  </sheetData>
  <sortState xmlns:xlrd2="http://schemas.microsoft.com/office/spreadsheetml/2017/richdata2" ref="B4:D24">
    <sortCondition descending="1" ref="D4:D2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7"/>
  <sheetViews>
    <sheetView workbookViewId="0">
      <selection activeCell="F13" sqref="F13"/>
    </sheetView>
  </sheetViews>
  <sheetFormatPr defaultRowHeight="15.75" x14ac:dyDescent="0.25"/>
  <cols>
    <col min="1" max="1" width="14.7109375" style="58" customWidth="1"/>
    <col min="2" max="2" width="9.140625" style="58"/>
    <col min="3" max="3" width="22.5703125" style="58" bestFit="1" customWidth="1"/>
    <col min="4" max="16384" width="9.140625" style="58"/>
  </cols>
  <sheetData>
    <row r="1" spans="1:4" x14ac:dyDescent="0.25">
      <c r="A1" s="57" t="s">
        <v>166</v>
      </c>
    </row>
    <row r="2" spans="1:4" ht="16.5" thickBot="1" x14ac:dyDescent="0.3"/>
    <row r="3" spans="1:4" ht="32.25" thickBot="1" x14ac:dyDescent="0.3">
      <c r="A3" s="66" t="s">
        <v>0</v>
      </c>
      <c r="B3" s="68" t="s">
        <v>1</v>
      </c>
      <c r="C3" s="68" t="s">
        <v>2</v>
      </c>
      <c r="D3" s="59" t="s">
        <v>151</v>
      </c>
    </row>
    <row r="4" spans="1:4" x14ac:dyDescent="0.25">
      <c r="B4" s="76" t="s">
        <v>205</v>
      </c>
      <c r="C4" s="76" t="s">
        <v>203</v>
      </c>
      <c r="D4" s="76">
        <v>39</v>
      </c>
    </row>
    <row r="5" spans="1:4" x14ac:dyDescent="0.25">
      <c r="B5" s="63" t="s">
        <v>178</v>
      </c>
      <c r="C5" s="63" t="s">
        <v>174</v>
      </c>
      <c r="D5" s="74">
        <v>37</v>
      </c>
    </row>
    <row r="6" spans="1:4" x14ac:dyDescent="0.25">
      <c r="B6" s="74">
        <v>23</v>
      </c>
      <c r="C6" s="74" t="s">
        <v>108</v>
      </c>
      <c r="D6" s="74">
        <v>32</v>
      </c>
    </row>
    <row r="7" spans="1:4" x14ac:dyDescent="0.25">
      <c r="B7" s="74">
        <v>19</v>
      </c>
      <c r="C7" s="74" t="s">
        <v>204</v>
      </c>
      <c r="D7" s="74">
        <v>1</v>
      </c>
    </row>
  </sheetData>
  <sortState xmlns:xlrd2="http://schemas.microsoft.com/office/spreadsheetml/2017/richdata2" ref="B4:D7">
    <sortCondition descending="1" ref="D4:D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4"/>
  <sheetViews>
    <sheetView workbookViewId="0">
      <selection activeCell="C10" sqref="C10"/>
    </sheetView>
  </sheetViews>
  <sheetFormatPr defaultRowHeight="15.75" x14ac:dyDescent="0.25"/>
  <cols>
    <col min="1" max="1" width="14.7109375" style="58" customWidth="1"/>
    <col min="2" max="2" width="9.140625" style="58"/>
    <col min="3" max="3" width="19.28515625" style="58" bestFit="1" customWidth="1"/>
    <col min="4" max="16384" width="9.140625" style="58"/>
  </cols>
  <sheetData>
    <row r="1" spans="1:4" x14ac:dyDescent="0.25">
      <c r="A1" s="57" t="s">
        <v>167</v>
      </c>
    </row>
    <row r="2" spans="1:4" ht="16.5" thickBot="1" x14ac:dyDescent="0.3"/>
    <row r="3" spans="1:4" ht="32.25" thickBot="1" x14ac:dyDescent="0.3">
      <c r="A3" s="66" t="s">
        <v>0</v>
      </c>
      <c r="B3" s="68" t="s">
        <v>1</v>
      </c>
      <c r="C3" s="68" t="s">
        <v>2</v>
      </c>
      <c r="D3" s="59" t="s">
        <v>151</v>
      </c>
    </row>
    <row r="4" spans="1:4" x14ac:dyDescent="0.25">
      <c r="B4" s="75">
        <v>339</v>
      </c>
      <c r="C4" s="67" t="s">
        <v>68</v>
      </c>
      <c r="D4" s="75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2021 Championship</vt:lpstr>
      <vt:lpstr>Formua Ultra</vt:lpstr>
      <vt:lpstr>Formula 2</vt:lpstr>
      <vt:lpstr>Open SS</vt:lpstr>
      <vt:lpstr>Open SBK</vt:lpstr>
      <vt:lpstr>600 SS</vt:lpstr>
      <vt:lpstr>600 SBK</vt:lpstr>
      <vt:lpstr>MW SS</vt:lpstr>
      <vt:lpstr>MW SBK</vt:lpstr>
      <vt:lpstr>LW SS</vt:lpstr>
      <vt:lpstr>LW SBK</vt:lpstr>
      <vt:lpstr>ULW SS</vt:lpstr>
      <vt:lpstr>450 SBK</vt:lpstr>
      <vt:lpstr>Classic SBK</vt:lpstr>
      <vt:lpstr>250 Ninja Cup</vt:lpstr>
      <vt:lpstr>160 Vintage</vt:lpstr>
      <vt:lpstr>750 Vintage</vt:lpstr>
      <vt:lpstr>Novice 1000</vt:lpstr>
      <vt:lpstr>Novice 600</vt:lpstr>
      <vt:lpstr>Forumla 40</vt:lpstr>
      <vt:lpstr>Formula 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Sexy Bitch</dc:creator>
  <cp:lastModifiedBy>Sexy Bitch</cp:lastModifiedBy>
  <dcterms:created xsi:type="dcterms:W3CDTF">2021-06-17T17:03:16Z</dcterms:created>
  <dcterms:modified xsi:type="dcterms:W3CDTF">2021-06-18T06:15:41Z</dcterms:modified>
</cp:coreProperties>
</file>